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Preparation oral\2_Resource and cost planning\"/>
    </mc:Choice>
  </mc:AlternateContent>
  <bookViews>
    <workbookView xWindow="0" yWindow="0" windowWidth="23040" windowHeight="9192" tabRatio="732" firstSheet="2" activeTab="11"/>
  </bookViews>
  <sheets>
    <sheet name="Démarche devis" sheetId="1" r:id="rId1"/>
    <sheet name="fournisseurs" sheetId="2" r:id="rId2"/>
    <sheet name="Feuille Bilan" sheetId="3" r:id="rId3"/>
    <sheet name="Feuille PE" sheetId="4" r:id="rId4"/>
    <sheet name="Action karting" sheetId="5" r:id="rId5"/>
    <sheet name="Beringer" sheetId="6" r:id="rId6"/>
    <sheet name="Bery Inox" sheetId="7" r:id="rId7"/>
    <sheet name="Bourgeois SAS" sheetId="8" r:id="rId8"/>
    <sheet name="Drexler" sheetId="9" r:id="rId9"/>
    <sheet name="DTA Fast" sheetId="10" r:id="rId10"/>
    <sheet name="Dunkermotoren" sheetId="11" r:id="rId11"/>
    <sheet name="Emile Maurin" sheetId="12" r:id="rId12"/>
    <sheet name="Farnell" sheetId="13" r:id="rId13"/>
    <sheet name="Formula seven" sheetId="14" r:id="rId14"/>
    <sheet name="FS ATA" sheetId="15" r:id="rId15"/>
    <sheet name="Honda Moto" sheetId="16" r:id="rId16"/>
    <sheet name="HPC" sheetId="17" r:id="rId17"/>
    <sheet name="Innomolds" sheetId="18" r:id="rId18"/>
    <sheet name="Kawazaky" sheetId="19" r:id="rId19"/>
    <sheet name="Knipex" sheetId="20" r:id="rId20"/>
    <sheet name="K-nuts" sheetId="21" r:id="rId21"/>
    <sheet name="Leroy Merlin" sheetId="22" r:id="rId22"/>
    <sheet name="Mateduc Composites" sheetId="23" r:id="rId23"/>
    <sheet name="Maxxess" sheetId="24" r:id="rId24"/>
    <sheet name="Michaud Chailly" sheetId="25" r:id="rId25"/>
    <sheet name="Mouser" sheetId="26" r:id="rId26"/>
    <sheet name="Namrick" sheetId="27" r:id="rId27"/>
    <sheet name="NOTES DE FRAIS" sheetId="28" r:id="rId28"/>
    <sheet name="Ohlins" sheetId="29" r:id="rId29"/>
    <sheet name="Radiosoudure" sheetId="30" r:id="rId30"/>
    <sheet name="Oscaro" sheetId="31" r:id="rId31"/>
    <sheet name="RCV Performance" sheetId="32" r:id="rId32"/>
    <sheet name="Reverchon" sheetId="33" r:id="rId33"/>
    <sheet name="Reverchon 2" sheetId="34" r:id="rId34"/>
    <sheet name="RS Component" sheetId="35" r:id="rId35"/>
    <sheet name="S2MA" sheetId="36" r:id="rId36"/>
    <sheet name="SKF" sheetId="37" r:id="rId37"/>
    <sheet name="Solutions Elastomères" sheetId="38" r:id="rId38"/>
    <sheet name="Surplus moto" sheetId="39" r:id="rId39"/>
    <sheet name="TDI Fasteners" sheetId="40" r:id="rId40"/>
    <sheet name="Texense" sheetId="41" r:id="rId41"/>
    <sheet name="Toumétal" sheetId="42" r:id="rId42"/>
    <sheet name="Watterott" sheetId="43" r:id="rId43"/>
  </sheets>
  <definedNames>
    <definedName name="_xlnm._FilterDatabase" localSheetId="19" hidden="1">Knipex!$A$3:$F$21</definedName>
  </definedNames>
  <calcPr calcId="162913"/>
</workbook>
</file>

<file path=xl/calcChain.xml><?xml version="1.0" encoding="utf-8"?>
<calcChain xmlns="http://schemas.openxmlformats.org/spreadsheetml/2006/main">
  <c r="D40" i="40" l="1"/>
  <c r="G13" i="40"/>
  <c r="H13" i="40" s="1"/>
  <c r="E10" i="40"/>
  <c r="H3" i="40"/>
  <c r="K18" i="37"/>
  <c r="H18" i="37"/>
  <c r="K17" i="37"/>
  <c r="H17" i="37"/>
  <c r="K16" i="37"/>
  <c r="H16" i="37"/>
  <c r="K15" i="37"/>
  <c r="H15" i="37"/>
  <c r="K14" i="37"/>
  <c r="H14" i="37"/>
  <c r="K13" i="37"/>
  <c r="H13" i="37"/>
  <c r="K12" i="37"/>
  <c r="H12" i="37"/>
  <c r="O11" i="37"/>
  <c r="K11" i="37"/>
  <c r="H11" i="37"/>
  <c r="O10" i="37"/>
  <c r="K10" i="37"/>
  <c r="H10" i="37"/>
  <c r="O9" i="37"/>
  <c r="K9" i="37"/>
  <c r="H9" i="37"/>
  <c r="K8" i="37"/>
  <c r="H8" i="37"/>
  <c r="K7" i="37"/>
  <c r="H7" i="37"/>
  <c r="K6" i="37"/>
  <c r="H6" i="37"/>
  <c r="K5" i="37"/>
  <c r="H5" i="37"/>
  <c r="K4" i="37"/>
  <c r="H4" i="37"/>
  <c r="K3" i="37"/>
  <c r="H3" i="37"/>
  <c r="K2" i="37"/>
  <c r="K20" i="37" s="1"/>
  <c r="H2" i="37"/>
  <c r="K21" i="37" s="1"/>
  <c r="H4" i="36"/>
  <c r="H10" i="35"/>
  <c r="G10" i="35"/>
  <c r="G4" i="35"/>
  <c r="G3" i="35"/>
  <c r="G2" i="35"/>
  <c r="I40" i="33"/>
  <c r="I39" i="33"/>
  <c r="H39" i="33"/>
  <c r="I34" i="33"/>
  <c r="I33" i="33"/>
  <c r="I27" i="33"/>
  <c r="I25" i="33"/>
  <c r="H25" i="33"/>
  <c r="I24" i="33"/>
  <c r="I23" i="33"/>
  <c r="I22" i="33"/>
  <c r="H21" i="33"/>
  <c r="I21" i="33" s="1"/>
  <c r="H20" i="33"/>
  <c r="I20" i="33" s="1"/>
  <c r="I19" i="33"/>
  <c r="I18" i="33"/>
  <c r="H17" i="33"/>
  <c r="I17" i="33" s="1"/>
  <c r="I16" i="33"/>
  <c r="I15" i="33"/>
  <c r="I14" i="33"/>
  <c r="I13" i="33"/>
  <c r="I12" i="33"/>
  <c r="I11" i="33"/>
  <c r="H11" i="33"/>
  <c r="I10" i="33"/>
  <c r="H9" i="33"/>
  <c r="I9" i="33" s="1"/>
  <c r="H8" i="33"/>
  <c r="I8" i="33" s="1"/>
  <c r="I7" i="33"/>
  <c r="I6" i="33"/>
  <c r="I5" i="33"/>
  <c r="I4" i="33"/>
  <c r="H4" i="33"/>
  <c r="I3" i="33"/>
  <c r="H3" i="33"/>
  <c r="I2" i="33"/>
  <c r="G4" i="29"/>
  <c r="H4" i="29" s="1"/>
  <c r="G3" i="29"/>
  <c r="H3" i="29" s="1"/>
  <c r="G2" i="29"/>
  <c r="G8" i="29" s="1"/>
  <c r="H8" i="29" s="1"/>
  <c r="K2" i="27"/>
  <c r="G2" i="27"/>
  <c r="G3" i="23"/>
  <c r="G2" i="23"/>
  <c r="H5" i="23" s="1"/>
  <c r="F6" i="21"/>
  <c r="F8" i="21" s="1"/>
  <c r="H69" i="3" s="1"/>
  <c r="I69" i="3" s="1"/>
  <c r="D17" i="20"/>
  <c r="D16" i="20"/>
  <c r="D15" i="20"/>
  <c r="D14" i="20"/>
  <c r="D13" i="20"/>
  <c r="D12" i="20"/>
  <c r="D1" i="20" s="1"/>
  <c r="D4" i="20"/>
  <c r="G8" i="17"/>
  <c r="H8" i="17" s="1"/>
  <c r="G3" i="17"/>
  <c r="G2" i="17"/>
  <c r="F3" i="16"/>
  <c r="F2" i="16"/>
  <c r="G11" i="12"/>
  <c r="G10" i="12"/>
  <c r="G9" i="12"/>
  <c r="G8" i="12"/>
  <c r="G12" i="12" s="1"/>
  <c r="G13" i="12" s="1"/>
  <c r="G3" i="12"/>
  <c r="G2" i="12"/>
  <c r="G4" i="12" s="1"/>
  <c r="G3" i="6"/>
  <c r="G2" i="6"/>
  <c r="E86" i="4"/>
  <c r="E85" i="4"/>
  <c r="E84" i="4"/>
  <c r="E83" i="4"/>
  <c r="E82" i="4"/>
  <c r="E81" i="4"/>
  <c r="E80" i="4"/>
  <c r="E79" i="4"/>
  <c r="I77" i="4"/>
  <c r="I76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4" i="4"/>
  <c r="O64" i="4"/>
  <c r="P62" i="4"/>
  <c r="O62" i="4"/>
  <c r="P61" i="4"/>
  <c r="O61" i="4"/>
  <c r="P60" i="4"/>
  <c r="O60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1" i="4"/>
  <c r="O41" i="4"/>
  <c r="P40" i="4"/>
  <c r="O40" i="4"/>
  <c r="P39" i="4"/>
  <c r="O39" i="4"/>
  <c r="P38" i="4"/>
  <c r="O38" i="4"/>
  <c r="P37" i="4"/>
  <c r="O37" i="4"/>
  <c r="P36" i="4"/>
  <c r="O36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3" i="4"/>
  <c r="O3" i="4"/>
  <c r="E86" i="3"/>
  <c r="E85" i="3"/>
  <c r="E84" i="3"/>
  <c r="E83" i="3"/>
  <c r="E82" i="3"/>
  <c r="E81" i="3"/>
  <c r="E80" i="3"/>
  <c r="E79" i="3"/>
  <c r="H75" i="3"/>
  <c r="P73" i="3"/>
  <c r="O73" i="3"/>
  <c r="P72" i="3"/>
  <c r="O72" i="3"/>
  <c r="I72" i="3"/>
  <c r="P71" i="3"/>
  <c r="O71" i="3"/>
  <c r="Q70" i="3"/>
  <c r="P70" i="3"/>
  <c r="O70" i="3"/>
  <c r="Q69" i="3"/>
  <c r="P69" i="3"/>
  <c r="O69" i="3"/>
  <c r="Q68" i="3"/>
  <c r="P68" i="3"/>
  <c r="O68" i="3"/>
  <c r="H68" i="3"/>
  <c r="I68" i="3" s="1"/>
  <c r="G68" i="3" s="1"/>
  <c r="P67" i="3"/>
  <c r="O67" i="3"/>
  <c r="Q66" i="3"/>
  <c r="P66" i="3"/>
  <c r="O66" i="3"/>
  <c r="Q64" i="3"/>
  <c r="P64" i="3"/>
  <c r="O64" i="3"/>
  <c r="Q62" i="3"/>
  <c r="P62" i="3"/>
  <c r="O62" i="3"/>
  <c r="Q61" i="3"/>
  <c r="P61" i="3"/>
  <c r="O61" i="3"/>
  <c r="Q60" i="3"/>
  <c r="P60" i="3"/>
  <c r="O60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I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I47" i="3"/>
  <c r="Q46" i="3"/>
  <c r="P46" i="3"/>
  <c r="O46" i="3"/>
  <c r="I46" i="3"/>
  <c r="Q45" i="3"/>
  <c r="P45" i="3"/>
  <c r="O45" i="3"/>
  <c r="Q44" i="3"/>
  <c r="P44" i="3"/>
  <c r="O44" i="3"/>
  <c r="Q41" i="3"/>
  <c r="P41" i="3"/>
  <c r="O41" i="3"/>
  <c r="Q40" i="3"/>
  <c r="P40" i="3"/>
  <c r="O40" i="3"/>
  <c r="I40" i="3"/>
  <c r="P39" i="3"/>
  <c r="O39" i="3"/>
  <c r="P38" i="3"/>
  <c r="O38" i="3"/>
  <c r="P37" i="3"/>
  <c r="O37" i="3"/>
  <c r="Q36" i="3"/>
  <c r="P36" i="3"/>
  <c r="O36" i="3"/>
  <c r="I36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I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I14" i="3"/>
  <c r="P13" i="3"/>
  <c r="O13" i="3"/>
  <c r="P12" i="3"/>
  <c r="O12" i="3"/>
  <c r="Q11" i="3"/>
  <c r="P11" i="3"/>
  <c r="O11" i="3"/>
  <c r="I11" i="3"/>
  <c r="Q10" i="3"/>
  <c r="P10" i="3"/>
  <c r="O10" i="3"/>
  <c r="H10" i="3"/>
  <c r="I10" i="3" s="1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I5" i="3"/>
  <c r="M76" i="3" s="1"/>
  <c r="M77" i="3" s="1"/>
  <c r="G5" i="3"/>
  <c r="Q3" i="3"/>
  <c r="P3" i="3"/>
  <c r="O3" i="3"/>
  <c r="Q71" i="4"/>
  <c r="Q67" i="4"/>
  <c r="Q61" i="4"/>
  <c r="Q56" i="4"/>
  <c r="Q52" i="4"/>
  <c r="Q48" i="4"/>
  <c r="Q44" i="4"/>
  <c r="Q38" i="4"/>
  <c r="Q33" i="4"/>
  <c r="Q29" i="4"/>
  <c r="Q24" i="4"/>
  <c r="Q20" i="4"/>
  <c r="Q16" i="4"/>
  <c r="Q12" i="4"/>
  <c r="Q8" i="4"/>
  <c r="Q3" i="4"/>
  <c r="Q73" i="3"/>
  <c r="Q67" i="3"/>
  <c r="Q38" i="3"/>
  <c r="Q13" i="3"/>
  <c r="Q68" i="4"/>
  <c r="Q57" i="4"/>
  <c r="Q53" i="4"/>
  <c r="Q49" i="4"/>
  <c r="Q45" i="4"/>
  <c r="Q39" i="4"/>
  <c r="Q34" i="4"/>
  <c r="Q30" i="4"/>
  <c r="Q13" i="4"/>
  <c r="Q9" i="4"/>
  <c r="Q5" i="4"/>
  <c r="Q72" i="4"/>
  <c r="Q73" i="4"/>
  <c r="Q69" i="4"/>
  <c r="Q64" i="4"/>
  <c r="Q58" i="4"/>
  <c r="Q54" i="4"/>
  <c r="Q50" i="4"/>
  <c r="Q46" i="4"/>
  <c r="Q40" i="4"/>
  <c r="Q36" i="4"/>
  <c r="Q31" i="4"/>
  <c r="Q27" i="4"/>
  <c r="Q22" i="4"/>
  <c r="Q18" i="4"/>
  <c r="Q14" i="4"/>
  <c r="Q10" i="4"/>
  <c r="Q6" i="4"/>
  <c r="Q70" i="4"/>
  <c r="Q66" i="4"/>
  <c r="Q60" i="4"/>
  <c r="Q55" i="4"/>
  <c r="Q51" i="4"/>
  <c r="Q47" i="4"/>
  <c r="Q41" i="4"/>
  <c r="Q37" i="4"/>
  <c r="Q32" i="4"/>
  <c r="Q28" i="4"/>
  <c r="Q23" i="4"/>
  <c r="Q19" i="4"/>
  <c r="Q15" i="4"/>
  <c r="Q11" i="4"/>
  <c r="Q7" i="4"/>
  <c r="Q72" i="3"/>
  <c r="Q71" i="3"/>
  <c r="Q37" i="3"/>
  <c r="Q12" i="3"/>
  <c r="Q9" i="3"/>
  <c r="Q62" i="4"/>
  <c r="Q26" i="4"/>
  <c r="Q21" i="4"/>
  <c r="Q17" i="4"/>
  <c r="Q39" i="3"/>
  <c r="I37" i="33" l="1"/>
  <c r="I76" i="3"/>
  <c r="I77" i="3" s="1"/>
  <c r="H20" i="37"/>
  <c r="G5" i="23"/>
  <c r="H2" i="29"/>
</calcChain>
</file>

<file path=xl/sharedStrings.xml><?xml version="1.0" encoding="utf-8"?>
<sst xmlns="http://schemas.openxmlformats.org/spreadsheetml/2006/main" count="2032" uniqueCount="878">
  <si>
    <t>N'hésitez pas à demander ou à négocier des réductions. Ça ne coûte rien de demander (surtout si cette réduction avait déjà été obtenue l'année précédente) et on peut économiser beaucoup. Mais rappelez-vous que les réductions obtenues une année ne nous sont pas acquises définitivement, il faut les redemander, voire les renégocier !</t>
  </si>
  <si>
    <t>Adresse de facturation</t>
  </si>
  <si>
    <t>Ecole Centrale de Lyon Service Facturation Bat Z2 36 avenue Guy de Collongue 69134 ECULLY</t>
  </si>
  <si>
    <t>Pour les copier-coller reportez vous au doc texte dans DE-Devis sur le Git</t>
  </si>
  <si>
    <t>fournisseur</t>
  </si>
  <si>
    <t>description</t>
  </si>
  <si>
    <t>Atomix</t>
  </si>
  <si>
    <t>Kinetix</t>
  </si>
  <si>
    <t>Olympix</t>
  </si>
  <si>
    <t>Vulcanix</t>
  </si>
  <si>
    <t>Optimus</t>
  </si>
  <si>
    <t>demande de devis du dernier véhicule</t>
  </si>
  <si>
    <t>délais d'appro (semaines)     devis &gt; livraison</t>
  </si>
  <si>
    <t>réduction possible</t>
  </si>
  <si>
    <t>A2M industries</t>
  </si>
  <si>
    <t>tests traction châssis</t>
  </si>
  <si>
    <t>Adresse de livraison</t>
  </si>
  <si>
    <t>x</t>
  </si>
  <si>
    <t>Ecole Centrale de Lyon MS-GM-GC Bat H10 Béatrice Chervet 36 avenue Guy de Collongue 69134 ECULLY</t>
  </si>
  <si>
    <t>fin janvier</t>
  </si>
  <si>
    <t>Le fournisseur est-il connu de centrale ?</t>
  </si>
  <si>
    <t>AB Décometal</t>
  </si>
  <si>
    <t>Liste des fournisseurs répertoriés et documentés comme connus de centrale :</t>
  </si>
  <si>
    <t>Revêtement collecteur</t>
  </si>
  <si>
    <t>mi avril</t>
  </si>
  <si>
    <t>Ne pas hésiter à compléter la liste</t>
  </si>
  <si>
    <t>Modèle Mail</t>
  </si>
  <si>
    <t xml:space="preserve">- Département concerné : XXX (IHM, LAS, ...)                                                                                                                                                                                                        </t>
  </si>
  <si>
    <t>Accimoto</t>
  </si>
  <si>
    <t>Moteur CBR600rr</t>
  </si>
  <si>
    <t xml:space="preserve">- Personne responsable : XXX  </t>
  </si>
  <si>
    <t>Action Karting</t>
  </si>
  <si>
    <t>equiments divers (baquets, vis, cable accel)</t>
  </si>
  <si>
    <t xml:space="preserve"> - Fournisseur : XXX                 </t>
  </si>
  <si>
    <t xml:space="preserve">  - Désignation : XXX (pièces les plus chères)           </t>
  </si>
  <si>
    <t xml:space="preserve">  - Description rapide de la commande : XXX (les noms des pièces n'étant pas toujours clairs sur les devis)      </t>
  </si>
  <si>
    <t xml:space="preserve">    - Prix TTC : XXX </t>
  </si>
  <si>
    <t xml:space="preserve"> - Réduction obtenue : XXX</t>
  </si>
  <si>
    <t>Démarche :</t>
  </si>
  <si>
    <t>AMC</t>
  </si>
  <si>
    <t>Moule carrosserie (vraiment chère)</t>
  </si>
  <si>
    <t>aquacut</t>
  </si>
  <si>
    <t>Découpe jet d'eau</t>
  </si>
  <si>
    <t>début février</t>
  </si>
  <si>
    <t xml:space="preserve">Obtenir la validation de la direction sur la pièce </t>
  </si>
  <si>
    <t>Arobose Engineering</t>
  </si>
  <si>
    <t>Faire faire le devis en précisant exactement l'adresse de facturation et l'adresse de livraison précisées ci-dessus</t>
  </si>
  <si>
    <t>Envoyez le devis par mail au directeur financier (romain.martin@ecl18.ec-lyon.fr) et en copie Nicolas Gameiro, Paco Tanchon et Maxime Proriol en mettant dans objet [EPSA][Commandes][Nom fournisseur] avec le devis en PJ et selon le modèle donné ci-dessus.</t>
  </si>
  <si>
    <t>Remplir la feuille de ce google sheet Bilan et la feuille correspondant au fournisseur</t>
  </si>
  <si>
    <t>ARRK LCO</t>
  </si>
  <si>
    <t>Plenum, Tubulure (admission motorisation)</t>
  </si>
  <si>
    <t>La livraison devra faire l'objet d'une vérification par le respo logistique (à défaut Nicolas Gameiro)</t>
  </si>
  <si>
    <t>Si vous récupérez la pièce, transmettre impérativement le bon de livraison au responsable commande pour que le fournisseur soit payé.</t>
  </si>
  <si>
    <t>AT Power</t>
  </si>
  <si>
    <t>Bride</t>
  </si>
  <si>
    <t>Atelier PRC</t>
  </si>
  <si>
    <t>Atlantic Modelage</t>
  </si>
  <si>
    <t>Autosports Labs</t>
  </si>
  <si>
    <t>Boîtier d'aquisition MK3</t>
  </si>
  <si>
    <t>BAFA</t>
  </si>
  <si>
    <t>Beringer</t>
  </si>
  <si>
    <t>système de freins</t>
  </si>
  <si>
    <t>novembre-janvier</t>
  </si>
  <si>
    <t>30%(2800€)</t>
  </si>
  <si>
    <t>Bery Inox</t>
  </si>
  <si>
    <t>Collecteur Echappement, soudage aluminium</t>
  </si>
  <si>
    <t>janvier-février</t>
  </si>
  <si>
    <t>Bilog</t>
  </si>
  <si>
    <t>liscence annuelle Manyspace</t>
  </si>
  <si>
    <t>début mai</t>
  </si>
  <si>
    <t>Bourgeois SAS</t>
  </si>
  <si>
    <t>Usinage axe transmission</t>
  </si>
  <si>
    <t>Brammer</t>
  </si>
  <si>
    <t>Rotules pour les essais</t>
  </si>
  <si>
    <t>Carbon One</t>
  </si>
  <si>
    <t>Carrosserie carbone</t>
  </si>
  <si>
    <t>Conrad</t>
  </si>
  <si>
    <t>électronique générale</t>
  </si>
  <si>
    <t>septembre</t>
  </si>
  <si>
    <t>Damac</t>
  </si>
  <si>
    <t>Descourt et Cabaud</t>
  </si>
  <si>
    <t xml:space="preserve">Fournisseur brut </t>
  </si>
  <si>
    <t>Dezosmoto (JD web)</t>
  </si>
  <si>
    <t>Drexler</t>
  </si>
  <si>
    <t>Différentiel</t>
  </si>
  <si>
    <t>beaucoup</t>
  </si>
  <si>
    <t>DTA Fast (DTA Race)</t>
  </si>
  <si>
    <t>Calculateur moteur</t>
  </si>
  <si>
    <t>mi septembre</t>
  </si>
  <si>
    <t>20%(200€)</t>
  </si>
  <si>
    <t>Dunkermotoren</t>
  </si>
  <si>
    <t>Moto réducteur</t>
  </si>
  <si>
    <t>Dury Ressorts</t>
  </si>
  <si>
    <t>EDM Precision</t>
  </si>
  <si>
    <t>Découpe par electro erosion (cannelure Moyeux ar)</t>
  </si>
  <si>
    <t>Emile Maurin</t>
  </si>
  <si>
    <t>Ecrous, Visserie LAS</t>
  </si>
  <si>
    <t>Engrenages HPC</t>
  </si>
  <si>
    <t>Axe pignon shifter</t>
  </si>
  <si>
    <t>Farnell</t>
  </si>
  <si>
    <t>électronique générale, outils</t>
  </si>
  <si>
    <t>5%(400€)</t>
  </si>
  <si>
    <t>Flashshifter</t>
  </si>
  <si>
    <t>Formula Seven (Bercella)</t>
  </si>
  <si>
    <t>Volant, crémaillère, équipement sécurité FS</t>
  </si>
  <si>
    <t>septembre-janvier</t>
  </si>
  <si>
    <t>France Equipement</t>
  </si>
  <si>
    <t>Chaine</t>
  </si>
  <si>
    <t>fin mars</t>
  </si>
  <si>
    <t>FS ATA (ANFIA)</t>
  </si>
  <si>
    <t>Compétition</t>
  </si>
  <si>
    <t>Headquartex</t>
  </si>
  <si>
    <t>Polos</t>
  </si>
  <si>
    <t>divers</t>
  </si>
  <si>
    <t>Honda Moto Lyon</t>
  </si>
  <si>
    <t>Capteurs</t>
  </si>
  <si>
    <t>Hoosier Reinfeiren</t>
  </si>
  <si>
    <t>Pneus</t>
  </si>
  <si>
    <t>HPC</t>
  </si>
  <si>
    <t>engrenages sur mesure</t>
  </si>
  <si>
    <t>Composants mécaniques divers</t>
  </si>
  <si>
    <t>IdePrint</t>
  </si>
  <si>
    <t>Innomolds</t>
  </si>
  <si>
    <t>Cannelures, moyeux arrières</t>
  </si>
  <si>
    <t>mars</t>
  </si>
  <si>
    <t>K2W</t>
  </si>
  <si>
    <t>Kawasaki Dardilly</t>
  </si>
  <si>
    <t>La Giraudière</t>
  </si>
  <si>
    <t>LDLC</t>
  </si>
  <si>
    <t>divers fin de budget</t>
  </si>
  <si>
    <t>fin décembre</t>
  </si>
  <si>
    <t>Locamail</t>
  </si>
  <si>
    <t>Impressions pour partenaires</t>
  </si>
  <si>
    <t>Mateduc</t>
  </si>
  <si>
    <t>Tubes carbones, triangles, biellettes</t>
  </si>
  <si>
    <t>Maxxess</t>
  </si>
  <si>
    <t>Filtre bougie,Anti-dribble, autres composants moteurs</t>
  </si>
  <si>
    <t>20% (1500€)</t>
  </si>
  <si>
    <t>Metalaladecoupe (GT Metaux)</t>
  </si>
  <si>
    <t>Michaud Chailly</t>
  </si>
  <si>
    <t>rotules</t>
  </si>
  <si>
    <t>avril</t>
  </si>
  <si>
    <t>Mouser Electronics</t>
  </si>
  <si>
    <t>Noël Métal</t>
  </si>
  <si>
    <t>Découpe Tubes chassis</t>
  </si>
  <si>
    <t>Öhlins</t>
  </si>
  <si>
    <t>Suspensions</t>
  </si>
  <si>
    <t>mi janvier- mi février</t>
  </si>
  <si>
    <t>OSBORN METALS SA</t>
  </si>
  <si>
    <t>tubes carrés structure tubulaire</t>
  </si>
  <si>
    <t>Planet Kart Cross</t>
  </si>
  <si>
    <t>Pole Position Moto</t>
  </si>
  <si>
    <t>Proshift</t>
  </si>
  <si>
    <t>PSEP Industrie</t>
  </si>
  <si>
    <t>Sablage, Thermolaquage châssis</t>
  </si>
  <si>
    <t>0.3</t>
  </si>
  <si>
    <t>60% de réduction (main d'oeuvre) (330€)</t>
  </si>
  <si>
    <t>Radia-soudure</t>
  </si>
  <si>
    <t>Radiateur moteur</t>
  </si>
  <si>
    <t>RC Moteur</t>
  </si>
  <si>
    <t>RCV Performance</t>
  </si>
  <si>
    <t>Kit arbre de transmission</t>
  </si>
  <si>
    <t>mi février</t>
  </si>
  <si>
    <t>Reverchon</t>
  </si>
  <si>
    <t>Jantes,Pneu, pièces divers</t>
  </si>
  <si>
    <t>10%(1700€)</t>
  </si>
  <si>
    <t>RS Components</t>
  </si>
  <si>
    <t>Composants électroniques</t>
  </si>
  <si>
    <t>S2MA</t>
  </si>
  <si>
    <t>Fond plat</t>
  </si>
  <si>
    <t>Si retard offert</t>
  </si>
  <si>
    <t>Sensata Technologies</t>
  </si>
  <si>
    <t>Crash sensor</t>
  </si>
  <si>
    <t>solution elastomère</t>
  </si>
  <si>
    <t>Silent Bloc</t>
  </si>
  <si>
    <t>Solutions élastomères</t>
  </si>
  <si>
    <t>Surplus Motos</t>
  </si>
  <si>
    <t>injecteurs</t>
  </si>
  <si>
    <t>TDI</t>
  </si>
  <si>
    <t>Visserie générale</t>
  </si>
  <si>
    <t>Techno Plus Automobile</t>
  </si>
  <si>
    <t>Texense (Texys)</t>
  </si>
  <si>
    <t>Capteur de vitesse de roue / cpteur guillotine</t>
  </si>
  <si>
    <t>mi mars</t>
  </si>
  <si>
    <t>30% (270€)</t>
  </si>
  <si>
    <t>Toumetal</t>
  </si>
  <si>
    <t>Plan de joint du carter d'huile</t>
  </si>
  <si>
    <t>début mars</t>
  </si>
  <si>
    <t>VIT Ressorts SARL</t>
  </si>
  <si>
    <t>Watterott</t>
  </si>
  <si>
    <t>Shield CAN</t>
  </si>
  <si>
    <t>début septembre</t>
  </si>
  <si>
    <t>X1 Racing</t>
  </si>
  <si>
    <t>Knut</t>
  </si>
  <si>
    <t>écrous</t>
  </si>
  <si>
    <t>Département</t>
  </si>
  <si>
    <t>Date commande</t>
  </si>
  <si>
    <t>Budgété</t>
  </si>
  <si>
    <t>Commande</t>
  </si>
  <si>
    <t>Respo</t>
  </si>
  <si>
    <t>Fournisseur</t>
  </si>
  <si>
    <t>Réduction obtenue</t>
  </si>
  <si>
    <t>Prix HT en euros</t>
  </si>
  <si>
    <t>Prix TTC en euros</t>
  </si>
  <si>
    <t>Délai d'appro (semaines) du devis à livraison</t>
  </si>
  <si>
    <t>Devis PDF déposé et envoyé</t>
  </si>
  <si>
    <t>Etat de la commande</t>
  </si>
  <si>
    <t>Si livré, stocké où ?</t>
  </si>
  <si>
    <t>Remarques</t>
  </si>
  <si>
    <t>Delais Pso</t>
  </si>
  <si>
    <t>délais sortie véhicule</t>
  </si>
  <si>
    <t>temps de commande</t>
  </si>
  <si>
    <t>Suspension</t>
  </si>
  <si>
    <t>triangle/bielette tubes carbones</t>
  </si>
  <si>
    <t>ABR</t>
  </si>
  <si>
    <t>Mateduc Composite</t>
  </si>
  <si>
    <t>BDL reçu</t>
  </si>
  <si>
    <t>Bron</t>
  </si>
  <si>
    <t>A ramener à Bron avec inserts AlpenTech pour réalisation des collages</t>
  </si>
  <si>
    <t>APU</t>
  </si>
  <si>
    <t>annulé</t>
  </si>
  <si>
    <t>PCT</t>
  </si>
  <si>
    <t>Ohlins - PFP Racing</t>
  </si>
  <si>
    <t>Local</t>
  </si>
  <si>
    <t>livré le 15/02/2019</t>
  </si>
  <si>
    <t>Emile Maurin 1</t>
  </si>
  <si>
    <t>Emile Maurin 2</t>
  </si>
  <si>
    <t>Freinage</t>
  </si>
  <si>
    <t>EDP</t>
  </si>
  <si>
    <t>Commande relancé le 14/03 et expédié</t>
  </si>
  <si>
    <t>siège</t>
  </si>
  <si>
    <t>récupéré de Olympix</t>
  </si>
  <si>
    <t>Colle epoxy triangle</t>
  </si>
  <si>
    <t>RS Components 3</t>
  </si>
  <si>
    <t>Anodisation Dure</t>
  </si>
  <si>
    <t>NGO</t>
  </si>
  <si>
    <t>Stoca</t>
  </si>
  <si>
    <t>Offert</t>
  </si>
  <si>
    <t>Pas de Devis donné, offert</t>
  </si>
  <si>
    <t>Roulements (excepté roue)</t>
  </si>
  <si>
    <t>Brammer 2</t>
  </si>
  <si>
    <t>backup finalement non utilisé</t>
  </si>
  <si>
    <t>Roulements</t>
  </si>
  <si>
    <t>DKS Bearings</t>
  </si>
  <si>
    <t>Estimation avec conversion €$, 20% de TVA et 6% de frais de douane : 1 340,67 €</t>
  </si>
  <si>
    <t>Découpe Fil cannelures sur moyeux</t>
  </si>
  <si>
    <t>vis épaulés</t>
  </si>
  <si>
    <t>BDE</t>
  </si>
  <si>
    <t>Emile Maurin 3</t>
  </si>
  <si>
    <t>FRAME</t>
  </si>
  <si>
    <t>fond plat ?</t>
  </si>
  <si>
    <t>JKL</t>
  </si>
  <si>
    <t>On change le devis suite à une modif de conception, bon de commande envoyé au responsable</t>
  </si>
  <si>
    <t>peinture, sablage</t>
  </si>
  <si>
    <t>RCS</t>
  </si>
  <si>
    <t>PSEP</t>
  </si>
  <si>
    <t>Test traction</t>
  </si>
  <si>
    <t>A2MI</t>
  </si>
  <si>
    <t>ok</t>
  </si>
  <si>
    <t>Réponse ok, devrait renvoyer une facture aujourd'hui</t>
  </si>
  <si>
    <t>Mise à jour erreur + livraison</t>
  </si>
  <si>
    <t>Devis reçu, commande en préparation</t>
  </si>
  <si>
    <t>Test traction 2</t>
  </si>
  <si>
    <t>PRB payement à surveiller</t>
  </si>
  <si>
    <t>POWERTRAIN</t>
  </si>
  <si>
    <t>Arbre/pignon shifter</t>
  </si>
  <si>
    <t>MPL</t>
  </si>
  <si>
    <t>29/02/19</t>
  </si>
  <si>
    <t>Arbre/pignon shifter offert</t>
  </si>
  <si>
    <t>coupery Masson</t>
  </si>
  <si>
    <t>offert</t>
  </si>
  <si>
    <t>1 semaine d'appro</t>
  </si>
  <si>
    <t xml:space="preserve">axes transmission
</t>
  </si>
  <si>
    <t>MPY</t>
  </si>
  <si>
    <t>RCV</t>
  </si>
  <si>
    <t>421 $</t>
  </si>
  <si>
    <t>estimé : 1551,2€</t>
  </si>
  <si>
    <t>Cardan</t>
  </si>
  <si>
    <t xml:space="preserve">Radiateur </t>
  </si>
  <si>
    <t>ASE</t>
  </si>
  <si>
    <t>Radiasoudure</t>
  </si>
  <si>
    <t>20% de remise</t>
  </si>
  <si>
    <t>Pas de BDL reçu mais validé par Isabelle.</t>
  </si>
  <si>
    <t>Pièce offerte</t>
  </si>
  <si>
    <t>Admission</t>
  </si>
  <si>
    <t>CEE</t>
  </si>
  <si>
    <t>ARRK</t>
  </si>
  <si>
    <t>OK</t>
  </si>
  <si>
    <t>Production lancée semaine du 21/01/19</t>
  </si>
  <si>
    <t>Echappement</t>
  </si>
  <si>
    <t>première partie en train d'être soudée</t>
  </si>
  <si>
    <t>découpe plan de joint carter</t>
  </si>
  <si>
    <t>Aquacut</t>
  </si>
  <si>
    <t>NC</t>
  </si>
  <si>
    <t>Récupéré le 26/02/2019 - Fini le 15/02/2019</t>
  </si>
  <si>
    <t>Thermostat</t>
  </si>
  <si>
    <t>Honda Moto</t>
  </si>
  <si>
    <t>payé sans BDL</t>
  </si>
  <si>
    <t>Anti-dribble</t>
  </si>
  <si>
    <t>pas de facture</t>
  </si>
  <si>
    <t>Silencieux</t>
  </si>
  <si>
    <t>payement après réception</t>
  </si>
  <si>
    <t>Traitement thermique échappement</t>
  </si>
  <si>
    <t>reçu 01/04/2019, 300,00 €</t>
  </si>
  <si>
    <t>Rampe et injecteurs</t>
  </si>
  <si>
    <t>Surplus Moto</t>
  </si>
  <si>
    <t>payé</t>
  </si>
  <si>
    <t>Maxime l'a récupéré</t>
  </si>
  <si>
    <t xml:space="preserve">N'a pas du tout tenu compte de la demande de partenariat </t>
  </si>
  <si>
    <t>Solutions Elastomères</t>
  </si>
  <si>
    <t xml:space="preserve">
</t>
  </si>
  <si>
    <t>Payé par Maxime, Non remboursé</t>
  </si>
  <si>
    <t>Soudure pièces Alu</t>
  </si>
  <si>
    <t>Bery Inox 2</t>
  </si>
  <si>
    <t>joints toriques</t>
  </si>
  <si>
    <t>123Roulement</t>
  </si>
  <si>
    <t>achat Ebay thermostat</t>
  </si>
  <si>
    <t>Usinage arbres de transmission</t>
  </si>
  <si>
    <t>Livré</t>
  </si>
  <si>
    <t>Electrical</t>
  </si>
  <si>
    <t>fil torsadé et connecteur</t>
  </si>
  <si>
    <t>BAT</t>
  </si>
  <si>
    <t>Je suis pas certain que les 8.10 soit HT et pas TTC 9,72 €</t>
  </si>
  <si>
    <t>Composant faisceau non dispo chez RS</t>
  </si>
  <si>
    <t>15/02/2019 ?</t>
  </si>
  <si>
    <t>mis a jour 172,57 €</t>
  </si>
  <si>
    <t>Mouser</t>
  </si>
  <si>
    <t>bon de commande envoyé au responsable</t>
  </si>
  <si>
    <t>Palette volant</t>
  </si>
  <si>
    <t>Kaz Technologies</t>
  </si>
  <si>
    <t>estimé : 430,19€</t>
  </si>
  <si>
    <t>électronique et faisceau</t>
  </si>
  <si>
    <t>PTN</t>
  </si>
  <si>
    <t>RS Components 2</t>
  </si>
  <si>
    <t>commande offerte ~600€</t>
  </si>
  <si>
    <t>livré ?</t>
  </si>
  <si>
    <t>RS Components 4</t>
  </si>
  <si>
    <t>estimé 227,16</t>
  </si>
  <si>
    <t>Faisceau Capteur Plenum</t>
  </si>
  <si>
    <t>Deytrade</t>
  </si>
  <si>
    <t>non</t>
  </si>
  <si>
    <t>local</t>
  </si>
  <si>
    <t>BAT Remboursé</t>
  </si>
  <si>
    <t>Faisceau Capteur Plenum (le premier est pas bon)</t>
  </si>
  <si>
    <t>Capteur Plenum</t>
  </si>
  <si>
    <t>Oscaro</t>
  </si>
  <si>
    <t>Au local</t>
  </si>
  <si>
    <t>Capteur débattement guillotine  + capteur pneu</t>
  </si>
  <si>
    <t>Texsense</t>
  </si>
  <si>
    <t>ECU et lambda</t>
  </si>
  <si>
    <t>DTA Fast</t>
  </si>
  <si>
    <t>bureau PSO</t>
  </si>
  <si>
    <t>Avance budget</t>
  </si>
  <si>
    <t>Motoréducteur</t>
  </si>
  <si>
    <t>un peu partout</t>
  </si>
  <si>
    <t>commande divers électronique</t>
  </si>
  <si>
    <t>RS components 5</t>
  </si>
  <si>
    <t>Estimation suite à correction de devis. 80,00 €</t>
  </si>
  <si>
    <t>Divers</t>
  </si>
  <si>
    <t>Collissimo volant</t>
  </si>
  <si>
    <t>YRI</t>
  </si>
  <si>
    <t>NOTES DE FRAIS</t>
  </si>
  <si>
    <t>Facture transmise</t>
  </si>
  <si>
    <t>Constitue un remboursement</t>
  </si>
  <si>
    <t>Reverchon 2</t>
  </si>
  <si>
    <t>estimé 1694.05</t>
  </si>
  <si>
    <t>FSN</t>
  </si>
  <si>
    <t>facture : 1 726,00 €, budgeté 1750€</t>
  </si>
  <si>
    <t>FS ATA</t>
  </si>
  <si>
    <t>Payé 1 726,00 €</t>
  </si>
  <si>
    <t>Camping FSN</t>
  </si>
  <si>
    <t>Estimation</t>
  </si>
  <si>
    <t>Camping FS ATA</t>
  </si>
  <si>
    <t>Estimation 1 400,00 €</t>
  </si>
  <si>
    <t xml:space="preserve">Suspension PE 65 </t>
  </si>
  <si>
    <t>Calixthe Matthei</t>
  </si>
  <si>
    <t>castorama</t>
  </si>
  <si>
    <t>Nourriture FS</t>
  </si>
  <si>
    <t>asso</t>
  </si>
  <si>
    <t>remboursé</t>
  </si>
  <si>
    <t>isyrun ?</t>
  </si>
  <si>
    <t>capteurs</t>
  </si>
  <si>
    <t>Bob Aubouin</t>
  </si>
  <si>
    <t>Leroy Merlin</t>
  </si>
  <si>
    <t>TDI Visserie</t>
  </si>
  <si>
    <t>NE PAS DEBALLER SAUF ABR</t>
  </si>
  <si>
    <t>Clément émerique</t>
  </si>
  <si>
    <t>Solution élastomère</t>
  </si>
  <si>
    <t>K-nuts</t>
  </si>
  <si>
    <t>Pas de TVA appliquée</t>
  </si>
  <si>
    <t>Frais la Poste</t>
  </si>
  <si>
    <t>Maximus Campus</t>
  </si>
  <si>
    <t>colle epoxy triangle</t>
  </si>
  <si>
    <t>Aurélien Biener</t>
  </si>
  <si>
    <t>Extra La Mache</t>
  </si>
  <si>
    <t>La Mache</t>
  </si>
  <si>
    <t>isyrun</t>
  </si>
  <si>
    <t>livraison volant</t>
  </si>
  <si>
    <t>Bob</t>
  </si>
  <si>
    <t>DHL</t>
  </si>
  <si>
    <t>livraison roulements</t>
  </si>
  <si>
    <t>Nicolas</t>
  </si>
  <si>
    <t>Pneumatiques essais</t>
  </si>
  <si>
    <t>Reverchon 3</t>
  </si>
  <si>
    <t>Maxime Proliol</t>
  </si>
  <si>
    <t>Le roy merlin</t>
  </si>
  <si>
    <t>thibault *6</t>
  </si>
  <si>
    <t>Pneumatiques competition</t>
  </si>
  <si>
    <t>Hoosier</t>
  </si>
  <si>
    <t>Devis accepté</t>
  </si>
  <si>
    <t>Estimation ou 1700€ sans pneu pluie. 2500,80€ HT</t>
  </si>
  <si>
    <t>Manyspace</t>
  </si>
  <si>
    <t>Prévision frais de change, de virement, de douane</t>
  </si>
  <si>
    <t>En préparation</t>
  </si>
  <si>
    <t>déja compté : 71,35 €</t>
  </si>
  <si>
    <t>Total  :</t>
  </si>
  <si>
    <t>délais appro par défaut</t>
  </si>
  <si>
    <t>Verification :</t>
  </si>
  <si>
    <t xml:space="preserve">Restant : </t>
  </si>
  <si>
    <t>10 000 des 45 000 réservés saison 19/20 Ce montant est celui restant pour Optimus</t>
  </si>
  <si>
    <t>Normalement egale à 0</t>
  </si>
  <si>
    <t xml:space="preserve">Statistique </t>
  </si>
  <si>
    <t>Devis déposé</t>
  </si>
  <si>
    <t>Devis vérifié</t>
  </si>
  <si>
    <t>Commandé</t>
  </si>
  <si>
    <t>Problème commande</t>
  </si>
  <si>
    <t>Nom commande</t>
  </si>
  <si>
    <t>Référence</t>
  </si>
  <si>
    <t>Quantité besoin</t>
  </si>
  <si>
    <t>Quantité rabe</t>
  </si>
  <si>
    <t>Prix unitaire HT</t>
  </si>
  <si>
    <t>Prix total HT</t>
  </si>
  <si>
    <t>Prix total TTC (A faire apparaitre une fois par devis)</t>
  </si>
  <si>
    <t>Responsable</t>
  </si>
  <si>
    <t>Commentaire</t>
  </si>
  <si>
    <t>Lien URL</t>
  </si>
  <si>
    <t>LAS</t>
  </si>
  <si>
    <t>Câble accélérateur 12/10ème</t>
  </si>
  <si>
    <t>2,5 m</t>
  </si>
  <si>
    <t>Note de frais</t>
  </si>
  <si>
    <t>Câble accélérateur 16/10ème - 2,50 m INOX</t>
  </si>
  <si>
    <t>Gaine 26/10ème autolubrifiante (pour accélérateur)</t>
  </si>
  <si>
    <t>CABG26A</t>
  </si>
  <si>
    <t>Frame</t>
  </si>
  <si>
    <t>vis baquet</t>
  </si>
  <si>
    <t>a prendre</t>
  </si>
  <si>
    <t>Total</t>
  </si>
  <si>
    <t>Disque de frein</t>
  </si>
  <si>
    <t>P2DDRI</t>
  </si>
  <si>
    <t>Bocal</t>
  </si>
  <si>
    <t>BO1</t>
  </si>
  <si>
    <t>Pions</t>
  </si>
  <si>
    <t>KITDOUILLE4</t>
  </si>
  <si>
    <t>Plaquettes</t>
  </si>
  <si>
    <t>KIT1158S</t>
  </si>
  <si>
    <t>KIT2547S</t>
  </si>
  <si>
    <t>http://aftermarket.beringer-brakes.com/fr/disques-lightec-quad/436-disque-frein-droit-pour-quad-piste-inox-p2ddi.html</t>
  </si>
  <si>
    <t>Motorisation</t>
  </si>
  <si>
    <t>Collecteur d'échappement</t>
  </si>
  <si>
    <t>https://messagerie.ec-lyon.fr/service/home/~/?auth=co&amp;loc=fr_FR&amp;id=7851&amp;part=2</t>
  </si>
  <si>
    <t>Soudure pièces aluminium</t>
  </si>
  <si>
    <t>LDN</t>
  </si>
  <si>
    <t>BAN</t>
  </si>
  <si>
    <t>Sous-total HT</t>
  </si>
  <si>
    <t>Vis épaulée Pivot Rocker</t>
  </si>
  <si>
    <t>31-520-5-35</t>
  </si>
  <si>
    <t xml:space="preserve">épaulement 6 mm/longueur épaulement 35 mm </t>
  </si>
  <si>
    <t>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</t>
  </si>
  <si>
    <t>Vis épaulée pivot pédale</t>
  </si>
  <si>
    <t>31-520-5-25</t>
  </si>
  <si>
    <t>Epaulement de D6x25</t>
  </si>
  <si>
    <t>Total HT</t>
  </si>
  <si>
    <t>Total TTC</t>
  </si>
  <si>
    <t>MAURIN FIXATION</t>
  </si>
  <si>
    <t>Prix HT pour 100</t>
  </si>
  <si>
    <t>ECROU BAS HEXAGONAL HM M8</t>
  </si>
  <si>
    <t>https://fixation.emile-maurin.fr/fr/ecrou-bas-hexagonal-hm-inox-a2-din-439-62603</t>
  </si>
  <si>
    <t>ECROU BAS HEXAGONAL HM M6</t>
  </si>
  <si>
    <t>ECROU BAS HEXAGONAL M8 PAS À GAUCHE</t>
  </si>
  <si>
    <t>https://fixation.emile-maurin.fr/fr/ecrou-bas-hexagonal-pas-gauche-inox-a2-din-439-62640</t>
  </si>
  <si>
    <t>ECROU BAS HEXAGONAL M6 PAS À GAUCHE</t>
  </si>
  <si>
    <t>Expédition</t>
  </si>
  <si>
    <t>Commande vis épaulées</t>
  </si>
  <si>
    <t>Reçue</t>
  </si>
  <si>
    <t xml:space="preserve">Commande Ecrou pas à droite </t>
  </si>
  <si>
    <t>Commande Ecrou pas à gauche</t>
  </si>
  <si>
    <t>En cours</t>
  </si>
  <si>
    <t>SEISM</t>
  </si>
  <si>
    <t>Calorstat</t>
  </si>
  <si>
    <t>HO19300MCJ003</t>
  </si>
  <si>
    <t>Recu</t>
  </si>
  <si>
    <t>Joint calorstat</t>
  </si>
  <si>
    <t>HO19305KV3010</t>
  </si>
  <si>
    <t xml:space="preserve">Recu </t>
  </si>
  <si>
    <t>Joint de cardan</t>
  </si>
  <si>
    <t>G04-A-12/12</t>
  </si>
  <si>
    <t>D = 25 mm</t>
  </si>
  <si>
    <t>https://shop.hpceurope.com/fr/produit.asp?prid=2539</t>
  </si>
  <si>
    <t xml:space="preserve">Accouplement </t>
  </si>
  <si>
    <t>SC2-8</t>
  </si>
  <si>
    <t>https://shop.hpceurope.com/fr/produit.asp?prid=3805</t>
  </si>
  <si>
    <t>Total 19DXX</t>
  </si>
  <si>
    <t>Arbre shifter</t>
  </si>
  <si>
    <t>Sur mesure</t>
  </si>
  <si>
    <t>19D16</t>
  </si>
  <si>
    <t>Pignon shifter</t>
  </si>
  <si>
    <t>Total 19D17</t>
  </si>
  <si>
    <t>Cannelures moyeux</t>
  </si>
  <si>
    <t>Mail envoyé</t>
  </si>
  <si>
    <t>Référence pour commander chez knipex</t>
  </si>
  <si>
    <t>désignation</t>
  </si>
  <si>
    <t>nombre</t>
  </si>
  <si>
    <t>prix du commerce (HT)</t>
  </si>
  <si>
    <t>Priorité</t>
  </si>
  <si>
    <t>00 19 57</t>
  </si>
  <si>
    <t>Jeu de pinces de précision pour circlips</t>
  </si>
  <si>
    <t>Moyenne</t>
  </si>
  <si>
    <t>Pince pour circlip intérieur et extérieur de dimensions 12 à 60mm</t>
  </si>
  <si>
    <t>97 43 200</t>
  </si>
  <si>
    <t>Pince à sertir universelle avec malette</t>
  </si>
  <si>
    <t>Haut</t>
  </si>
  <si>
    <t>-&gt; demandé de sûr</t>
  </si>
  <si>
    <t>recu</t>
  </si>
  <si>
    <t>Vert : 1re demande</t>
  </si>
  <si>
    <t>97 49 04</t>
  </si>
  <si>
    <t>Matrice fût ouvert 2,8mm + 4,8mm</t>
  </si>
  <si>
    <t>Orange : Demandé en "bonus"</t>
  </si>
  <si>
    <t>97 49 25 1</t>
  </si>
  <si>
    <t>Positionneur pour 97 49 04</t>
  </si>
  <si>
    <t>Rouge : Non demandé</t>
  </si>
  <si>
    <t>97 49 05</t>
  </si>
  <si>
    <t>Matrice fût ouvert 4,8mm + 6,3mm</t>
  </si>
  <si>
    <t>97 49 06</t>
  </si>
  <si>
    <t>Matrice pour cosses isolées + manchons</t>
  </si>
  <si>
    <t>97 49 14</t>
  </si>
  <si>
    <t>Matrice pour cosses tubulaires + prolongateurs</t>
  </si>
  <si>
    <t>41 04 250</t>
  </si>
  <si>
    <t xml:space="preserve">Pince étau </t>
  </si>
  <si>
    <t>pince étau moyenne</t>
  </si>
  <si>
    <t>87 01 150</t>
  </si>
  <si>
    <t>pince cobra 150mm</t>
  </si>
  <si>
    <t>petite pince multiprise</t>
  </si>
  <si>
    <t>86 03 150</t>
  </si>
  <si>
    <t>Pince-clé miniature</t>
  </si>
  <si>
    <t>Basse</t>
  </si>
  <si>
    <t>Quantité</t>
  </si>
  <si>
    <t>28 71 280</t>
  </si>
  <si>
    <t xml:space="preserve"> Pince à monter</t>
  </si>
  <si>
    <t>hexagonal K-nut M6x1.0</t>
  </si>
  <si>
    <t>pince ultralongue pour aller chercher des trucs</t>
  </si>
  <si>
    <t>00 20 01 V01</t>
  </si>
  <si>
    <t xml:space="preserve"> Jeu de pinces «Basic»</t>
  </si>
  <si>
    <t>hexagonal K-nut M8x1.25</t>
  </si>
  <si>
    <t>hexagonal K-nut M10x1.5</t>
  </si>
  <si>
    <t>module de 4 pince sur plaleau en mousse, cobra 250mm, universelle, demi ronde, coupante démultiplié</t>
  </si>
  <si>
    <t>76 12 125</t>
  </si>
  <si>
    <t>Pince coupante de côté électromécanicien</t>
  </si>
  <si>
    <t>hexagonal K-nut M12x1.75</t>
  </si>
  <si>
    <t>standard shipping to France (2-3 days)</t>
  </si>
  <si>
    <t>petite pince coupante</t>
  </si>
  <si>
    <t>Attention, la TVA ne s'applique pas !</t>
  </si>
  <si>
    <t>70 02 160</t>
  </si>
  <si>
    <t>TOTAL (pas de TVA)</t>
  </si>
  <si>
    <t>pince coupante de côté</t>
  </si>
  <si>
    <t>Customer VAT-ID is: FR66196901870</t>
  </si>
  <si>
    <t>pince coupante allongé</t>
  </si>
  <si>
    <t>Pince à dénuder</t>
  </si>
  <si>
    <t>TUBE CARBONE ENROULEMENT FILAMENTAIRE 12X16X1500mm</t>
  </si>
  <si>
    <t>1m</t>
  </si>
  <si>
    <t>FORFAIT COUPE  tol +/- 0,3 mm</t>
  </si>
  <si>
    <t>Frais de port</t>
  </si>
  <si>
    <t>Filtre à air KN</t>
  </si>
  <si>
    <t>TDARC0790-1</t>
  </si>
  <si>
    <t>Remisé à 29,60</t>
  </si>
  <si>
    <t>Antidrible</t>
  </si>
  <si>
    <t>Remisé à 799,2</t>
  </si>
  <si>
    <t>Slotted nut 5/8" - 18 (UNF) + cotted pin</t>
  </si>
  <si>
    <t>?</t>
  </si>
  <si>
    <t>2.58£</t>
  </si>
  <si>
    <t>A vérifier si il n'en reste pas à bron. Peut être possible autre part mais galère car vraiment spécifique</t>
  </si>
  <si>
    <t>Collissimo Volant</t>
  </si>
  <si>
    <t>Nouveau volant reçu</t>
  </si>
  <si>
    <t>TTX 25</t>
  </si>
  <si>
    <t>Ressort 225 lbs/in</t>
  </si>
  <si>
    <t>Ressort 275 lbs/in</t>
  </si>
  <si>
    <t>Ressort 300 lbs/in</t>
  </si>
  <si>
    <t>Systeme</t>
  </si>
  <si>
    <t>Prix tot HT</t>
  </si>
  <si>
    <t>Prix tot TTC (A faire apparaitre une fois par devis)</t>
  </si>
  <si>
    <t>Tripod</t>
  </si>
  <si>
    <t>D4672-TA</t>
  </si>
  <si>
    <t>90$</t>
  </si>
  <si>
    <t>Kit</t>
  </si>
  <si>
    <t>https://www.rcvperformance.com/media/fsae/FSAE_Brochure.pdf</t>
  </si>
  <si>
    <t>GT2i</t>
  </si>
  <si>
    <t>Pompe essence</t>
  </si>
  <si>
    <t>Répartiteur 7/16UNF</t>
  </si>
  <si>
    <t>Axle 15''</t>
  </si>
  <si>
    <t>D5115 - 15"</t>
  </si>
  <si>
    <t>222$</t>
  </si>
  <si>
    <t>Axle 17''</t>
  </si>
  <si>
    <t>D5159 - 17"</t>
  </si>
  <si>
    <t>8RSRF</t>
  </si>
  <si>
    <t>https://www.oreca-store.com/regulateur-de-pression-d-essence-9-16-unf-special-gros-debit.html</t>
  </si>
  <si>
    <t>M-FP603</t>
  </si>
  <si>
    <t>Inboard Tripod Housing</t>
  </si>
  <si>
    <t>D4824 - Drexler Medium</t>
  </si>
  <si>
    <t>Outboard Tripod Housing</t>
  </si>
  <si>
    <t>D4483 - Polaris 20T</t>
  </si>
  <si>
    <t>Snap Rings</t>
  </si>
  <si>
    <t>214-54</t>
  </si>
  <si>
    <t>0,6$</t>
  </si>
  <si>
    <t>Triangular Boot for Tripod Housings</t>
  </si>
  <si>
    <t>615-3</t>
  </si>
  <si>
    <t>9$</t>
  </si>
  <si>
    <t>DE 19D21</t>
  </si>
  <si>
    <t>Oreca</t>
  </si>
  <si>
    <t>https://www.gt2i.com/fr/pompe-a-essence-electrique/49065-pompe-a-essence-walbro-r5-gt-turbo.html</t>
  </si>
  <si>
    <t>Bouchon femelle Dash 6</t>
  </si>
  <si>
    <t>929_ALU</t>
  </si>
  <si>
    <t>Corrosserie</t>
  </si>
  <si>
    <t xml:space="preserve">plaque carbone
</t>
  </si>
  <si>
    <t>JKF</t>
  </si>
  <si>
    <t>Découpe</t>
  </si>
  <si>
    <t>Devis 19D24</t>
  </si>
  <si>
    <t xml:space="preserve">Colle epoxy structurelle DP490 </t>
  </si>
  <si>
    <t>783-9732</t>
  </si>
  <si>
    <t>Raccords femelle droit</t>
  </si>
  <si>
    <t>G-236-0106D</t>
  </si>
  <si>
    <t>https://fr.rs-online.com/web/p/resines-et-colles-epoxy/7839732/?relevancy-data=636F3D3126696E3D4931384E4C446573635461786F6E6F6D794272616E645365617263685465726D325F74656D70266C753D6672266D6D3D6D617463687061727469616C6D617826706D3D5E5B5C707B4C7D5C707B4E647D3F5C707B5A737D2D2C2F255C2E5D2B2426706F3D31313326736E3D592673723D2673743D4B4559574F52445F4D554C54495F414C5048415F414E445F4D554C54495F414C5048415F4E554D455249432673633D592677633D4E4F4E45267573743D636F6C6C6520C3A9706F78792073747275637572656C6C65204450343930267374613D636F6C6C6520C3A9706F78792073747275637572656C6C6520445034393026&amp;searchHistory=%7B%22enabled%22%3Atrue%7D</t>
  </si>
  <si>
    <t>https://www.gt2i.com/fr/raccord-durite-aviation-serie-200/14408-raccord-femelle-droit-alu-916x18-jic.html#</t>
  </si>
  <si>
    <t>RS Pro Steel Extension Spring, 32.6mm x 9mm</t>
  </si>
  <si>
    <t>751-821</t>
  </si>
  <si>
    <t>https://fr.rs-online.com/web/p/ressorts-de-traction/0751821/</t>
  </si>
  <si>
    <t>Tube remplissage à souder</t>
  </si>
  <si>
    <t>WI-RD2413</t>
  </si>
  <si>
    <t>https://www.gt2i.com/fr/bouchon-a-souder-circuit-refroidissement/28972-Bouchon-et-Goulotte-Wilwood-Diametre-381mm-Longueur-50mm.html</t>
  </si>
  <si>
    <t>Join torique bride</t>
  </si>
  <si>
    <t>La commande est géré par le pôle élec en parler à Bob svp</t>
  </si>
  <si>
    <t>Prix unitaire HT (estimé)</t>
  </si>
  <si>
    <t>Quantité avant réduction nb</t>
  </si>
  <si>
    <t>Prix total estimé avant réduction nb</t>
  </si>
  <si>
    <t>Réponse SKF</t>
  </si>
  <si>
    <t>Coussinet Pivot Rocker</t>
  </si>
  <si>
    <t>PCMF 060808 E</t>
  </si>
  <si>
    <t xml:space="preserve">Regulateur de pression </t>
  </si>
  <si>
    <t>442MSV003</t>
  </si>
  <si>
    <t>Mise à l'air</t>
  </si>
  <si>
    <t>TRV67</t>
  </si>
  <si>
    <t>https://www.oreca-store.com/clapet-de-mise-a-l-air-fixation-reservoir-newton-9-16x18unf-dh6.html</t>
  </si>
  <si>
    <t>Importante</t>
  </si>
  <si>
    <t>COMMANDE EXPRESS VIA BEATRICE</t>
  </si>
  <si>
    <t>Embases à souder male alu dash6</t>
  </si>
  <si>
    <t>19/03/2019 24</t>
  </si>
  <si>
    <t>https://www.oreca-store.com/adaptateur-male-oreca-jic-a-souder-aluminium.html</t>
  </si>
  <si>
    <t>Reçu</t>
  </si>
  <si>
    <t>http://www.skf.com/fr/products/bearings-units-housings/plain-bearings/bushings-thrust-washers-strips/bushings/table-bushings/index.html?designation=PCMF%20060808%20E&amp;unit=metricUnit</t>
  </si>
  <si>
    <t>Bouchon sortie vidange 3/8x24</t>
  </si>
  <si>
    <t>9293D</t>
  </si>
  <si>
    <t>Rotule Pivot ARB</t>
  </si>
  <si>
    <t>GE 12 C</t>
  </si>
  <si>
    <t>https://www.oreca-store.com/bouchon-femelle-goodridge-jic-aluminium.html</t>
  </si>
  <si>
    <t>http://www.skf.com/fr/products/bearings-units-housings/plain-bearings/general/radial-spherical-plain/index.html?designation=GE%2012%20C&amp;unit=metricUnit</t>
  </si>
  <si>
    <t xml:space="preserve">Durite </t>
  </si>
  <si>
    <t>https://www.oreca-store.com/durite-goodridge-serie-400-dash-6-pour-circuit-d-essence.html</t>
  </si>
  <si>
    <t>Porte rotule M6 Mâle (pas à droite)</t>
  </si>
  <si>
    <t>SA 6 E</t>
  </si>
  <si>
    <r>
      <t>PCT/</t>
    </r>
    <r>
      <rPr>
        <sz val="10"/>
        <color rgb="FFFF0000"/>
        <rFont val="Arial"/>
      </rPr>
      <t>ABR</t>
    </r>
  </si>
  <si>
    <t>Scotch protection thermique</t>
  </si>
  <si>
    <t>Porte rotule M6 Mâle (pas à gauche)</t>
  </si>
  <si>
    <t>SAL 6 E</t>
  </si>
  <si>
    <r>
      <t>PCT/</t>
    </r>
    <r>
      <rPr>
        <sz val="10"/>
        <color rgb="FFFF0000"/>
        <rFont val="Arial"/>
      </rPr>
      <t>ABR</t>
    </r>
  </si>
  <si>
    <t>Porte rotule M6 femelle (pas à droite)</t>
  </si>
  <si>
    <t>https://www.oreca-store.com/scotch-protection-thermique-dei-a-gold-rouleau-1-5-x-15.html</t>
  </si>
  <si>
    <t xml:space="preserve">SI 6 E </t>
  </si>
  <si>
    <t>Rotule M6</t>
  </si>
  <si>
    <t>GE 6 E</t>
  </si>
  <si>
    <t>Déjà 25 qui restera des essais sur les rotules</t>
  </si>
  <si>
    <t>Scotch alu</t>
  </si>
  <si>
    <t>8PC04501</t>
  </si>
  <si>
    <t>Roulements pivot direction</t>
  </si>
  <si>
    <t>61806 2RS1</t>
  </si>
  <si>
    <t>19/03/2019 1</t>
  </si>
  <si>
    <t>Roulements roue</t>
  </si>
  <si>
    <t>S71910 ACD/P4A</t>
  </si>
  <si>
    <t>30/05/2019 5</t>
  </si>
  <si>
    <t>Refroidissement</t>
  </si>
  <si>
    <t>SIent Block</t>
  </si>
  <si>
    <t>Ecrou encoche</t>
  </si>
  <si>
    <t>KM10</t>
  </si>
  <si>
    <t>Payé par carte perso</t>
  </si>
  <si>
    <t>Goulotte alu à souder avec trop plein</t>
  </si>
  <si>
    <t>19/03/2019 4</t>
  </si>
  <si>
    <t>8RSGAAS</t>
  </si>
  <si>
    <t xml:space="preserve">Rondelle frein </t>
  </si>
  <si>
    <t xml:space="preserve">MB10 </t>
  </si>
  <si>
    <t>https://www.oreca-store.com/goulotte-aluminium-redspec-a-souder-avec-trop-plein.html</t>
  </si>
  <si>
    <t>02/04/2019 4</t>
  </si>
  <si>
    <t>a commander</t>
  </si>
  <si>
    <t>bagues auto-lubrifiantes</t>
  </si>
  <si>
    <t>PPMF 151717</t>
  </si>
  <si>
    <t>Faible</t>
  </si>
  <si>
    <t>MJT</t>
  </si>
  <si>
    <t>plus fabriqué</t>
  </si>
  <si>
    <t>Roulement P.Excentr gauche</t>
  </si>
  <si>
    <t>6011-2RS1</t>
  </si>
  <si>
    <t>6011-2Z 19/03/2018</t>
  </si>
  <si>
    <t>http://www.skf.com/fr/products/bearings-units-housings/ball-bearings/deep-groove-ball-bearings/deep-groove-ball-bearings/index.html?designation=6011%20M</t>
  </si>
  <si>
    <t>Bouchon radiateur STANT à levier tarage 1,33 - 1,47 bars</t>
  </si>
  <si>
    <t>BR01RL</t>
  </si>
  <si>
    <t>https://www.oreca-store.com/bouchon-radiateur-stant-a-levier-tarage-1-33-1-47-bars.html</t>
  </si>
  <si>
    <t>Roulement P.Excentr droit</t>
  </si>
  <si>
    <t>6010-2RS1</t>
  </si>
  <si>
    <t>6010-2Z 19/03/2018</t>
  </si>
  <si>
    <t>http://www.skf.com/fr/products/bearings-units-housings/ball-bearings/deep-groove-ball-bearings/deep-groove-ball-bearings/index.html?designation=6010</t>
  </si>
  <si>
    <t>Ventilateur</t>
  </si>
  <si>
    <t>653111/ VA11-AP7/C-57A</t>
  </si>
  <si>
    <t>https://www.oreca-store.com/ventilateur-spal-aspirant-o-255-mm-puissance-1-360-m3-h.html</t>
  </si>
  <si>
    <t>Douille à aiguille</t>
  </si>
  <si>
    <t>HK 2820</t>
  </si>
  <si>
    <t>19/03/2019 2</t>
  </si>
  <si>
    <t>Joint à lèvre</t>
  </si>
  <si>
    <t>HMS5 RG 28x40x7</t>
  </si>
  <si>
    <t>Embases à souder male alu dash4</t>
  </si>
  <si>
    <t>465_ADAPTATEURMALES</t>
  </si>
  <si>
    <t>Cartouche de graisse 420 ml</t>
  </si>
  <si>
    <t>LGHB 2/0.4</t>
  </si>
  <si>
    <t>MOTORISATION</t>
  </si>
  <si>
    <t>Rampe injection</t>
  </si>
  <si>
    <t>Raccord femelle droit JIC 536-01 GOODRIDGE pour durite 536 -</t>
  </si>
  <si>
    <t>https://www.surplusmotos.com/fr/produit/injecteur-honda-cbr-rr-600-1.php</t>
  </si>
  <si>
    <t>https://www.oreca-store.com/raccord-femelle-droit-jic-536-01-goodridge-pour-durite-536.html</t>
  </si>
  <si>
    <t>19/03/2019 12</t>
  </si>
  <si>
    <t>graisse haute pression pour les rotules</t>
  </si>
  <si>
    <t>http://www.skf.com/fr/products/lubrication-solutions/lubricants/high-load-high-temperature-high-viscosity-grease/index.html</t>
  </si>
  <si>
    <t>Durite silicone droite Dint6</t>
  </si>
  <si>
    <t>861SHL06TO</t>
  </si>
  <si>
    <t>Coussinet bronze pivot pédale</t>
  </si>
  <si>
    <t>PSMF 061006 A51</t>
  </si>
  <si>
    <t>pas de date 50</t>
  </si>
  <si>
    <t>http://www.skf.com/fr/products/bearings-units-housings/plain-bearings/bushings-thrust-washers-strips/table-bushings/index.html?designation=PSMF%20061006%20A51</t>
  </si>
  <si>
    <t>https://www.oreca-store.com/durite-silicone-redspec-1m-droite.html</t>
  </si>
  <si>
    <t>Durites inox annelée Dext 25 formable</t>
  </si>
  <si>
    <t>à commander</t>
  </si>
  <si>
    <t>Durite inox annelée Dext 12 formable</t>
  </si>
  <si>
    <t>Total pièces</t>
  </si>
  <si>
    <t>Durite silicone coudée redspec coudée à 45° Dint 25</t>
  </si>
  <si>
    <t>86145_COUDE45</t>
  </si>
  <si>
    <t>Total avant</t>
  </si>
  <si>
    <t>https://www.oreca-store.com/durite-silicone-coudee-a-45-redspec.html</t>
  </si>
  <si>
    <t>Réduction</t>
  </si>
  <si>
    <t>Objectif</t>
  </si>
  <si>
    <t>A commander ailleurs</t>
  </si>
  <si>
    <t>Durite silicone droit Dint 25</t>
  </si>
  <si>
    <t>Marque</t>
  </si>
  <si>
    <t>861SHL_DURITE_DROITE</t>
  </si>
  <si>
    <t>Designation</t>
  </si>
  <si>
    <t>SKF</t>
  </si>
  <si>
    <t>Rotule M12</t>
  </si>
  <si>
    <t>Askubal</t>
  </si>
  <si>
    <t>Rotule M12 de compétition</t>
  </si>
  <si>
    <t>S 12</t>
  </si>
  <si>
    <t>Porte rotule M6 Mâle (pas à droite) haute capacité</t>
  </si>
  <si>
    <t>EA   6</t>
  </si>
  <si>
    <t>Porte rotule M6 Mâle (pas à gauche) haute capacité</t>
  </si>
  <si>
    <t>EAL 6</t>
  </si>
  <si>
    <t>Jeu 4 fixations clous pour SPAL FPK01</t>
  </si>
  <si>
    <t>FPK01</t>
  </si>
  <si>
    <t>Porte rotule M6 femelle (pas à droite) haute capacité</t>
  </si>
  <si>
    <t>EIL 6</t>
  </si>
  <si>
    <t>https://www.oreca-store.com/fixations-revotec-pour-ventilateur.html</t>
  </si>
  <si>
    <t>Vis M6 x 55 mm qualité 12.9 CHC</t>
  </si>
  <si>
    <t>1-1-1-1-6-100-55-4</t>
  </si>
  <si>
    <t xml:space="preserve">GE 6 </t>
  </si>
  <si>
    <t>Vis M6 x 50 mm qualité 12.9 CHC</t>
  </si>
  <si>
    <t>1-1-1-1-6-100-50-4</t>
  </si>
  <si>
    <t>Vis M6 x 45 mm qualité 12.9 CHC</t>
  </si>
  <si>
    <t>1-1-1-1-6-100-45-4</t>
  </si>
  <si>
    <t>Vis M6 x 40 mm qualité 12.9 CHC</t>
  </si>
  <si>
    <t>1-1-1-1-6-100-40-4</t>
  </si>
  <si>
    <t>Vis M6 x 35 mm qualité 12.9 CHC</t>
  </si>
  <si>
    <t>Collier inox D12-22</t>
  </si>
  <si>
    <t>1-1-1-1-6-100-35-4</t>
  </si>
  <si>
    <t>Vis M6 x 30 mm qualité 12.9 CHC</t>
  </si>
  <si>
    <t>1-1-1-1-6-100-30-4</t>
  </si>
  <si>
    <t>Vis M6 x 25 mm qualité 12.9 CHC</t>
  </si>
  <si>
    <t>1-1-1-1-6-100-25-4</t>
  </si>
  <si>
    <t>Vis M6 x 20 mm qualité 12.9 CHC</t>
  </si>
  <si>
    <t>1-1-1-1-6-100-20-4</t>
  </si>
  <si>
    <t>Collier inox D20-32</t>
  </si>
  <si>
    <t>Vis M6 x 16 mm qualité 12.9 CHC</t>
  </si>
  <si>
    <t>1-1-1-1-6-100-16-4</t>
  </si>
  <si>
    <t>Vis M8 x 40 mm qualité 12.9 CHC</t>
  </si>
  <si>
    <t>1-1-1-1-8-125-40-4</t>
  </si>
  <si>
    <t>Vis M8 x 45 mm qualité 12.9 CHC</t>
  </si>
  <si>
    <t>1-1-1-1-8-125-45-4</t>
  </si>
  <si>
    <t>Circlips extérieurs DIN 471 30mm acier XC75 phosphaté</t>
  </si>
  <si>
    <t>39-1-446-119-30-83</t>
  </si>
  <si>
    <t>Liquide de frein</t>
  </si>
  <si>
    <t>RBF660</t>
  </si>
  <si>
    <t>Circlips intérieurs DIN 472 17mm acier XC75 phosphaté</t>
  </si>
  <si>
    <t>39-1-507-120-17-83</t>
  </si>
  <si>
    <t>Ecrou bas hexagonal Hm décolleté ISO 4035 M6 X 1.00 acier doux zingué noir</t>
  </si>
  <si>
    <t>2-1-279-185-6-100-12-6</t>
  </si>
  <si>
    <t>Ecrou bas hexagonal Hm décolleté ISO 4035 M8 X 1.25 acier doux zingué noir</t>
  </si>
  <si>
    <t>2-1-279-185-8-125-12-6</t>
  </si>
  <si>
    <t>https://www.oreca-store.com/liquide-de-freins-motul-rbf-660-dot-4-non-miscible.html</t>
  </si>
  <si>
    <t>Vis tête cylindrique 6 pans creux DIN 912 M8 X 1.25 X 10 cl.12.9</t>
  </si>
  <si>
    <t>1-1-1-1-8-125-10-4</t>
  </si>
  <si>
    <t>Vis tête hexagonale partiellement filetée DIN 931 M12 X 1.75 X 180mm cl.8.8</t>
  </si>
  <si>
    <t>1-1-34-6-12-175-180-2</t>
  </si>
  <si>
    <t>Vis tête hexagonale partiellement filetée DIN 931 M12 X 1.75 X 200mm cl.8.8</t>
  </si>
  <si>
    <t>1-1-34-6-12-175-200-2</t>
  </si>
  <si>
    <t>Vis tête hexagonale entièrement filetée DIN 933 M10 X 1.50 X 35mm cl. 8.8</t>
  </si>
  <si>
    <t>1-1-33-7-10-150-35-2</t>
  </si>
  <si>
    <t>Vis M3 x 20 mm tête bombée 6 pans creux</t>
  </si>
  <si>
    <t>1-1-12-21-3-50-20-3</t>
  </si>
  <si>
    <t>Vis M3 x 12 mm tête bombée 6 pans creux</t>
  </si>
  <si>
    <t>1-1-12-21-3-50-12-4-1</t>
  </si>
  <si>
    <t>Ecrou hexagonal autofreiné (anneau non metallique) M8 X 1.25 acier cl.8 zingué nickel gris NYLSTOP®</t>
  </si>
  <si>
    <t>2-1-483-201-8-125-62-48-29</t>
  </si>
  <si>
    <t>Ecrou hexagonal autofreiné (anneau non metallique) M6 X 1.00 acier cl.8 zingué nickel gris NYLSTOP®</t>
  </si>
  <si>
    <t>2-1-483-201-6-100-62-48-29</t>
  </si>
  <si>
    <t>Ecrou hexagonal autofreiné (anneau non metallique) M5 X 0.80 acier cl.8 zingué nickel gris NYLSTOP®</t>
  </si>
  <si>
    <t>2-1-483-201-5-80-62-48-29</t>
  </si>
  <si>
    <t>Ecrou hexagonal autofreiné (anneau non metallique) M4X 0.70 acier cl.8 zingué nickel gris NYLSTOP®</t>
  </si>
  <si>
    <t>2-1-483-201-4-70-62-48-29</t>
  </si>
  <si>
    <t>Ecrou hexagonal autofreiné (anneau non metallique) M3 X 0.50 acier cl.8 zingué nickel gris NYLSTOP®</t>
  </si>
  <si>
    <t>2-1-483-201-3-50-62-48-29</t>
  </si>
  <si>
    <t>Vis tête cylindrique 6 pans creux DIN 912 M6 X 1.00 X 25 mm cl.8.8</t>
  </si>
  <si>
    <t xml:space="preserve"> 1-1-1-1-6-100-25-2 </t>
  </si>
  <si>
    <t>Vis tête hexagonale entièrement filetée DIN 933 M4 X 0.70 X 20mm cl. 8.8</t>
  </si>
  <si>
    <t>1-1-33-7-4-70-20-2</t>
  </si>
  <si>
    <t>Vis tête hexagonale entièrement filetée DIN 933 M5 X 0.80 X 20mm cl. 8.8</t>
  </si>
  <si>
    <t>1-1-33-7-5-80-20-2</t>
  </si>
  <si>
    <t xml:space="preserve">VIS BANJO SIMPLE AVEC FEU CONTACTEUR DE FEU STOP
</t>
  </si>
  <si>
    <t>BL99231C</t>
  </si>
  <si>
    <t>Vis tête hexagonale partiellement filetée DIN 931 M5 X 0.80 X 30mm cl.8.8</t>
  </si>
  <si>
    <t>1-1-34-6-5-80-30-2</t>
  </si>
  <si>
    <t>Vis tête hexagonale entièrement filetée DIN 933 M8 X 1.25 X 30mm cl. 8.8</t>
  </si>
  <si>
    <t>1-1-33-7-8-125-30-2</t>
  </si>
  <si>
    <t>Rondelle plate_ série normale 'M' NFE 25514 3mm acier demi-dur zingué blanc</t>
  </si>
  <si>
    <t xml:space="preserve"> 4-2-40-9-3-133-4 </t>
  </si>
  <si>
    <t>Rondelle plate_ série normale 'M' NFE 25514 4mm acier demi-dur zingué blanc</t>
  </si>
  <si>
    <t xml:space="preserve"> 4-2-40-9-4-133-4 </t>
  </si>
  <si>
    <t>Rondelle plate_ série normale 'M' NFE 25514 6mm acier demi-dur zingué blanc</t>
  </si>
  <si>
    <t xml:space="preserve"> 4-2-40-9-6-133-4 </t>
  </si>
  <si>
    <t>Rondelle plate_ série normale 'M' NFE 25514 8mm acier demi-dur zingué blanc</t>
  </si>
  <si>
    <t xml:space="preserve"> 4-2-40-9-8-133-4 </t>
  </si>
  <si>
    <t>Vis rotule maitres cylindres pédalier M6 x 1.00 x 80 mm classe 12.9</t>
  </si>
  <si>
    <t>1-1-34-6-6-100-80-4</t>
  </si>
  <si>
    <t>TOTAL HT</t>
  </si>
  <si>
    <t>TOTAL TTC</t>
  </si>
  <si>
    <t>Harnais SPARCO rouge</t>
  </si>
  <si>
    <t xml:space="preserve">8SP04818RAL </t>
  </si>
  <si>
    <t>https://www.oreca-store.com/harnais-fia-sparco-04818ral.html</t>
  </si>
  <si>
    <t>Quick Release</t>
  </si>
  <si>
    <t>8SP015R99FM</t>
  </si>
  <si>
    <t>Velcro</t>
  </si>
  <si>
    <t>8EQ019</t>
  </si>
  <si>
    <t>Faisceau</t>
  </si>
  <si>
    <t>Coupe-circuit 6 pôles à clef FIA 100A</t>
  </si>
  <si>
    <t>3110C</t>
  </si>
  <si>
    <t>PRISE DE DEMARRAGE</t>
  </si>
  <si>
    <t>Plaque carbone</t>
  </si>
  <si>
    <t>CARBON3P</t>
  </si>
  <si>
    <t>Câble de démarrage noir 5 mètres</t>
  </si>
  <si>
    <t>E1502</t>
  </si>
  <si>
    <t>Câble de démarrage rouge 5 mètres</t>
  </si>
  <si>
    <t>E1502R</t>
  </si>
  <si>
    <t>cosse batterie</t>
  </si>
  <si>
    <t>cosse master switch</t>
  </si>
  <si>
    <t>E1651</t>
  </si>
  <si>
    <t>Total:</t>
  </si>
  <si>
    <t>GOUJONS DE ROUE 12X125/ 125 LONGUEUR 82 (x4)</t>
  </si>
  <si>
    <t>8RS82125</t>
  </si>
  <si>
    <t>https://www.oreca-store.com/goujons-de-roue-haute-qualite-redspec-en-acier-vendus-par-4.html</t>
  </si>
  <si>
    <t>écrou roue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</si>
</sst>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.m"/>
    <numFmt numFmtId="165" formatCode="d/m/yy"/>
    <numFmt numFmtId="166" formatCode="#,##0.00\ [$€-1]"/>
    <numFmt numFmtId="167" formatCode="#,##0.00&quot;€&quot;"/>
    <numFmt numFmtId="168" formatCode="dd/mm/yy"/>
    <numFmt numFmtId="169" formatCode="#,##0&quot;€&quot;"/>
    <numFmt numFmtId="170" formatCode="d\ m\ yy"/>
  </numFmts>
  <fonts count="72">
    <font>
      <sz val="10"/>
      <color rgb="FF000000"/>
      <name val="Arial"/>
    </font>
    <font>
      <b/>
      <sz val="10"/>
      <name val="Raleway"/>
    </font>
    <font>
      <sz val="10"/>
      <name val="Arial"/>
    </font>
    <font>
      <sz val="10"/>
      <name val="Raleway"/>
    </font>
    <font>
      <sz val="10"/>
      <name val="Arial"/>
    </font>
    <font>
      <sz val="10"/>
      <color rgb="FFFF0000"/>
      <name val="Raleway"/>
    </font>
    <font>
      <b/>
      <sz val="10"/>
      <name val="Arial"/>
    </font>
    <font>
      <b/>
      <i/>
      <sz val="12"/>
      <color rgb="FFFF0000"/>
      <name val="Raleway"/>
    </font>
    <font>
      <b/>
      <i/>
      <sz val="12"/>
      <color rgb="FFFF0000"/>
      <name val="Sans-serif"/>
    </font>
    <font>
      <b/>
      <sz val="12"/>
      <color rgb="FF000000"/>
      <name val="Raleway"/>
    </font>
    <font>
      <b/>
      <sz val="10"/>
      <color rgb="FF000000"/>
      <name val="Raleway"/>
    </font>
    <font>
      <b/>
      <sz val="11"/>
      <color rgb="FF000000"/>
      <name val="Raleway"/>
    </font>
    <font>
      <b/>
      <sz val="11"/>
      <name val="Raleway"/>
    </font>
    <font>
      <b/>
      <sz val="24"/>
      <color rgb="FF000000"/>
      <name val="Sans-serif"/>
    </font>
    <font>
      <b/>
      <sz val="10"/>
      <color rgb="FFFF0000"/>
      <name val="Raleway"/>
    </font>
    <font>
      <sz val="11"/>
      <color rgb="FF000000"/>
      <name val="Raleway"/>
    </font>
    <font>
      <b/>
      <sz val="10"/>
      <color rgb="FF4A86E8"/>
      <name val="Raleway"/>
    </font>
    <font>
      <sz val="10"/>
      <color rgb="FF000000"/>
      <name val="Raleway"/>
    </font>
    <font>
      <b/>
      <sz val="24"/>
      <color rgb="FF000000"/>
      <name val="Raleway"/>
    </font>
    <font>
      <b/>
      <sz val="10"/>
      <color rgb="FF6AA84F"/>
      <name val="Raleway"/>
    </font>
    <font>
      <b/>
      <sz val="24"/>
      <color rgb="FF000000"/>
      <name val="Arial"/>
    </font>
    <font>
      <b/>
      <sz val="10"/>
      <color rgb="FFFF00FF"/>
      <name val="Raleway"/>
    </font>
    <font>
      <sz val="10"/>
      <color rgb="FFFF00FF"/>
      <name val="Raleway"/>
    </font>
    <font>
      <b/>
      <sz val="10"/>
      <name val="Arial"/>
    </font>
    <font>
      <b/>
      <sz val="10"/>
      <name val="Century Gothic"/>
    </font>
    <font>
      <sz val="10"/>
      <name val="Century Gothic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9900"/>
      <name val="Century Gothic"/>
    </font>
    <font>
      <u/>
      <sz val="10"/>
      <color rgb="FF0000FF"/>
      <name val="Century Gothic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name val="Arial"/>
    </font>
    <font>
      <b/>
      <sz val="11"/>
      <color rgb="FF2655AC"/>
      <name val="Arial"/>
    </font>
    <font>
      <sz val="9"/>
      <color rgb="FF564E4E"/>
      <name val="Arial"/>
    </font>
    <font>
      <sz val="9"/>
      <color rgb="FF000000"/>
      <name val="Century Gothic"/>
    </font>
    <font>
      <u/>
      <sz val="10"/>
      <color rgb="FF0000FF"/>
      <name val="Century Gothic"/>
    </font>
    <font>
      <b/>
      <sz val="10"/>
      <color rgb="FF6AA84F"/>
      <name val="Arial"/>
    </font>
    <font>
      <b/>
      <sz val="10"/>
      <color rgb="FF4A86E8"/>
      <name val="Arial"/>
    </font>
    <font>
      <b/>
      <sz val="10"/>
      <color rgb="FF4A86E8"/>
      <name val="Century Gothic"/>
    </font>
    <font>
      <u/>
      <sz val="11"/>
      <color rgb="FF4A86E8"/>
      <name val="Inconsolata"/>
    </font>
    <font>
      <sz val="9"/>
      <color rgb="FF000000"/>
      <name val="Montserrat"/>
    </font>
    <font>
      <sz val="10"/>
      <color rgb="FF000000"/>
      <name val="Century Gothic"/>
    </font>
    <font>
      <sz val="11"/>
      <color rgb="FF564E4E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b/>
      <sz val="12"/>
      <name val="Arial"/>
    </font>
    <font>
      <b/>
      <sz val="11"/>
      <color rgb="FF564E4E"/>
      <name val="Arial"/>
    </font>
    <font>
      <u/>
      <sz val="10"/>
      <color rgb="FF0000FF"/>
      <name val="Century Gothic"/>
    </font>
    <font>
      <sz val="10"/>
      <name val="Century Gothic"/>
    </font>
    <font>
      <u/>
      <sz val="10"/>
      <color rgb="FF0000FF"/>
      <name val="Century Gothic"/>
    </font>
    <font>
      <b/>
      <sz val="11"/>
      <color rgb="FF564E4E"/>
      <name val="Skf_chevin_medium"/>
    </font>
    <font>
      <u/>
      <sz val="10"/>
      <color rgb="FF0000FF"/>
      <name val="Century Gothic"/>
    </font>
    <font>
      <b/>
      <sz val="10"/>
      <color rgb="FFFF0000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Century Gothic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0000FF"/>
      <name val="Century Gothic"/>
    </font>
    <font>
      <sz val="10"/>
      <color rgb="FFFF0000"/>
      <name val="Century Gothic"/>
    </font>
    <font>
      <sz val="10"/>
      <color rgb="FFFF0000"/>
      <name val="Arial"/>
    </font>
  </fonts>
  <fills count="2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1155CC"/>
        <bgColor rgb="FF1155CC"/>
      </patternFill>
    </fill>
    <fill>
      <patternFill patternType="solid">
        <fgColor rgb="FFF4C7C3"/>
        <bgColor rgb="FFF4C7C3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A6A6"/>
        <bgColor rgb="FFFFA6A6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/>
    <xf numFmtId="0" fontId="4" fillId="0" borderId="0" xfId="0" applyFont="1" applyAlignment="1">
      <alignment wrapText="1"/>
    </xf>
    <xf numFmtId="0" fontId="2" fillId="0" borderId="2" xfId="0" applyFont="1" applyBorder="1" applyAlignment="1"/>
    <xf numFmtId="0" fontId="5" fillId="0" borderId="0" xfId="0" applyFont="1" applyAlignment="1">
      <alignment wrapText="1"/>
    </xf>
    <xf numFmtId="0" fontId="6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2" fillId="6" borderId="4" xfId="0" applyFont="1" applyFill="1" applyBorder="1" applyAlignment="1"/>
    <xf numFmtId="0" fontId="2" fillId="7" borderId="3" xfId="0" applyFont="1" applyFill="1" applyBorder="1" applyAlignment="1"/>
    <xf numFmtId="0" fontId="6" fillId="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9" borderId="4" xfId="0" applyFont="1" applyFill="1" applyBorder="1" applyAlignment="1"/>
    <xf numFmtId="0" fontId="4" fillId="0" borderId="0" xfId="0" applyFont="1" applyAlignment="1">
      <alignment wrapText="1"/>
    </xf>
    <xf numFmtId="0" fontId="6" fillId="9" borderId="4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9" fontId="2" fillId="9" borderId="4" xfId="0" applyNumberFormat="1" applyFont="1" applyFill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center"/>
    </xf>
    <xf numFmtId="0" fontId="2" fillId="6" borderId="4" xfId="0" applyFont="1" applyFill="1" applyBorder="1" applyAlignment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2" fillId="6" borderId="4" xfId="0" applyNumberFormat="1" applyFont="1" applyFill="1" applyBorder="1" applyAlignment="1">
      <alignment horizontal="center"/>
    </xf>
    <xf numFmtId="0" fontId="2" fillId="9" borderId="4" xfId="0" applyFont="1" applyFill="1" applyBorder="1" applyAlignment="1"/>
    <xf numFmtId="164" fontId="2" fillId="9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right"/>
    </xf>
    <xf numFmtId="0" fontId="10" fillId="10" borderId="4" xfId="0" applyFont="1" applyFill="1" applyBorder="1" applyAlignment="1">
      <alignment wrapText="1"/>
    </xf>
    <xf numFmtId="14" fontId="10" fillId="10" borderId="5" xfId="0" applyNumberFormat="1" applyFont="1" applyFill="1" applyBorder="1" applyAlignment="1">
      <alignment wrapText="1"/>
    </xf>
    <xf numFmtId="0" fontId="3" fillId="10" borderId="8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7" borderId="4" xfId="0" applyFont="1" applyFill="1" applyBorder="1" applyAlignment="1"/>
    <xf numFmtId="0" fontId="6" fillId="2" borderId="4" xfId="0" applyFont="1" applyFill="1" applyBorder="1" applyAlignment="1">
      <alignment horizontal="center"/>
    </xf>
    <xf numFmtId="0" fontId="2" fillId="7" borderId="0" xfId="0" applyFont="1" applyFill="1" applyAlignment="1"/>
    <xf numFmtId="0" fontId="11" fillId="3" borderId="9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165" fontId="3" fillId="6" borderId="15" xfId="0" applyNumberFormat="1" applyFont="1" applyFill="1" applyBorder="1" applyAlignment="1">
      <alignment wrapText="1"/>
    </xf>
    <xf numFmtId="0" fontId="3" fillId="6" borderId="15" xfId="0" applyFont="1" applyFill="1" applyBorder="1" applyAlignment="1">
      <alignment wrapText="1"/>
    </xf>
    <xf numFmtId="0" fontId="3" fillId="6" borderId="16" xfId="0" applyFont="1" applyFill="1" applyBorder="1" applyAlignment="1">
      <alignment wrapText="1"/>
    </xf>
    <xf numFmtId="0" fontId="14" fillId="6" borderId="16" xfId="0" applyFont="1" applyFill="1" applyBorder="1" applyAlignment="1">
      <alignment wrapText="1"/>
    </xf>
    <xf numFmtId="166" fontId="3" fillId="6" borderId="16" xfId="0" applyNumberFormat="1" applyFont="1" applyFill="1" applyBorder="1" applyAlignment="1">
      <alignment wrapText="1"/>
    </xf>
    <xf numFmtId="166" fontId="3" fillId="6" borderId="16" xfId="0" applyNumberFormat="1" applyFont="1" applyFill="1" applyBorder="1" applyAlignment="1">
      <alignment wrapText="1"/>
    </xf>
    <xf numFmtId="14" fontId="3" fillId="6" borderId="16" xfId="0" applyNumberFormat="1" applyFont="1" applyFill="1" applyBorder="1" applyAlignment="1">
      <alignment wrapText="1"/>
    </xf>
    <xf numFmtId="0" fontId="15" fillId="11" borderId="16" xfId="0" applyFont="1" applyFill="1" applyBorder="1" applyAlignment="1">
      <alignment horizontal="center" wrapText="1"/>
    </xf>
    <xf numFmtId="0" fontId="3" fillId="6" borderId="17" xfId="0" applyFont="1" applyFill="1" applyBorder="1" applyAlignment="1">
      <alignment wrapText="1"/>
    </xf>
    <xf numFmtId="4" fontId="3" fillId="0" borderId="18" xfId="0" applyNumberFormat="1" applyFont="1" applyBorder="1" applyAlignment="1">
      <alignment wrapText="1"/>
    </xf>
    <xf numFmtId="4" fontId="3" fillId="0" borderId="19" xfId="0" applyNumberFormat="1" applyFont="1" applyBorder="1" applyAlignment="1">
      <alignment wrapText="1"/>
    </xf>
    <xf numFmtId="0" fontId="3" fillId="0" borderId="20" xfId="0" applyFont="1" applyBorder="1" applyAlignment="1">
      <alignment wrapText="1"/>
    </xf>
    <xf numFmtId="165" fontId="3" fillId="12" borderId="7" xfId="0" applyNumberFormat="1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14" fillId="12" borderId="4" xfId="0" applyFont="1" applyFill="1" applyBorder="1" applyAlignment="1">
      <alignment wrapText="1"/>
    </xf>
    <xf numFmtId="166" fontId="3" fillId="12" borderId="4" xfId="0" applyNumberFormat="1" applyFont="1" applyFill="1" applyBorder="1" applyAlignment="1">
      <alignment wrapText="1"/>
    </xf>
    <xf numFmtId="166" fontId="3" fillId="12" borderId="4" xfId="0" applyNumberFormat="1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15" fillId="11" borderId="4" xfId="0" applyFont="1" applyFill="1" applyBorder="1" applyAlignment="1">
      <alignment horizontal="center" wrapText="1"/>
    </xf>
    <xf numFmtId="0" fontId="3" fillId="12" borderId="22" xfId="0" applyFont="1" applyFill="1" applyBorder="1" applyAlignment="1">
      <alignment wrapText="1"/>
    </xf>
    <xf numFmtId="4" fontId="3" fillId="0" borderId="2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0" fontId="16" fillId="12" borderId="4" xfId="0" applyFont="1" applyFill="1" applyBorder="1" applyAlignment="1">
      <alignment wrapText="1"/>
    </xf>
    <xf numFmtId="14" fontId="3" fillId="12" borderId="4" xfId="0" applyNumberFormat="1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166" fontId="3" fillId="6" borderId="4" xfId="0" applyNumberFormat="1" applyFont="1" applyFill="1" applyBorder="1" applyAlignment="1">
      <alignment wrapText="1"/>
    </xf>
    <xf numFmtId="166" fontId="3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14" fontId="3" fillId="6" borderId="4" xfId="0" applyNumberFormat="1" applyFont="1" applyFill="1" applyBorder="1" applyAlignment="1">
      <alignment wrapText="1"/>
    </xf>
    <xf numFmtId="0" fontId="3" fillId="6" borderId="22" xfId="0" applyFont="1" applyFill="1" applyBorder="1" applyAlignment="1">
      <alignment wrapText="1"/>
    </xf>
    <xf numFmtId="0" fontId="16" fillId="6" borderId="4" xfId="0" applyFont="1" applyFill="1" applyBorder="1" applyAlignment="1">
      <alignment wrapText="1"/>
    </xf>
    <xf numFmtId="0" fontId="14" fillId="6" borderId="22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165" fontId="3" fillId="6" borderId="7" xfId="0" applyNumberFormat="1" applyFont="1" applyFill="1" applyBorder="1" applyAlignment="1">
      <alignment wrapText="1"/>
    </xf>
    <xf numFmtId="0" fontId="14" fillId="6" borderId="4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3" fillId="6" borderId="22" xfId="0" applyFont="1" applyFill="1" applyBorder="1" applyAlignment="1">
      <alignment wrapText="1"/>
    </xf>
    <xf numFmtId="167" fontId="3" fillId="12" borderId="4" xfId="0" applyNumberFormat="1" applyFont="1" applyFill="1" applyBorder="1" applyAlignment="1">
      <alignment wrapText="1"/>
    </xf>
    <xf numFmtId="0" fontId="17" fillId="12" borderId="4" xfId="0" applyFont="1" applyFill="1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3" fillId="12" borderId="24" xfId="0" applyFont="1" applyFill="1" applyBorder="1" applyAlignment="1">
      <alignment wrapText="1"/>
    </xf>
    <xf numFmtId="0" fontId="3" fillId="12" borderId="24" xfId="0" applyFont="1" applyFill="1" applyBorder="1" applyAlignment="1">
      <alignment wrapText="1"/>
    </xf>
    <xf numFmtId="0" fontId="4" fillId="0" borderId="4" xfId="0" applyFont="1" applyBorder="1" applyAlignment="1"/>
    <xf numFmtId="166" fontId="3" fillId="12" borderId="25" xfId="0" applyNumberFormat="1" applyFont="1" applyFill="1" applyBorder="1" applyAlignment="1">
      <alignment wrapText="1"/>
    </xf>
    <xf numFmtId="166" fontId="3" fillId="12" borderId="25" xfId="0" applyNumberFormat="1" applyFont="1" applyFill="1" applyBorder="1" applyAlignment="1">
      <alignment wrapText="1"/>
    </xf>
    <xf numFmtId="0" fontId="3" fillId="12" borderId="25" xfId="0" applyFont="1" applyFill="1" applyBorder="1" applyAlignment="1">
      <alignment wrapText="1"/>
    </xf>
    <xf numFmtId="14" fontId="3" fillId="12" borderId="25" xfId="0" applyNumberFormat="1" applyFont="1" applyFill="1" applyBorder="1" applyAlignment="1">
      <alignment wrapText="1"/>
    </xf>
    <xf numFmtId="0" fontId="15" fillId="11" borderId="25" xfId="0" applyFont="1" applyFill="1" applyBorder="1" applyAlignment="1">
      <alignment horizontal="center" wrapText="1"/>
    </xf>
    <xf numFmtId="0" fontId="3" fillId="12" borderId="25" xfId="0" applyFont="1" applyFill="1" applyBorder="1" applyAlignment="1">
      <alignment wrapText="1"/>
    </xf>
    <xf numFmtId="0" fontId="3" fillId="12" borderId="27" xfId="0" applyFont="1" applyFill="1" applyBorder="1" applyAlignment="1">
      <alignment wrapText="1"/>
    </xf>
    <xf numFmtId="0" fontId="3" fillId="12" borderId="28" xfId="0" applyFont="1" applyFill="1" applyBorder="1" applyAlignment="1">
      <alignment wrapText="1"/>
    </xf>
    <xf numFmtId="0" fontId="4" fillId="0" borderId="28" xfId="0" applyFont="1" applyBorder="1" applyAlignment="1"/>
    <xf numFmtId="0" fontId="14" fillId="12" borderId="11" xfId="0" applyFont="1" applyFill="1" applyBorder="1" applyAlignment="1">
      <alignment wrapText="1"/>
    </xf>
    <xf numFmtId="0" fontId="3" fillId="12" borderId="11" xfId="0" applyFont="1" applyFill="1" applyBorder="1" applyAlignment="1">
      <alignment wrapText="1"/>
    </xf>
    <xf numFmtId="166" fontId="3" fillId="12" borderId="11" xfId="0" applyNumberFormat="1" applyFont="1" applyFill="1" applyBorder="1" applyAlignment="1">
      <alignment wrapText="1"/>
    </xf>
    <xf numFmtId="166" fontId="3" fillId="12" borderId="11" xfId="0" applyNumberFormat="1" applyFont="1" applyFill="1" applyBorder="1" applyAlignment="1">
      <alignment wrapText="1"/>
    </xf>
    <xf numFmtId="0" fontId="3" fillId="12" borderId="11" xfId="0" applyFont="1" applyFill="1" applyBorder="1" applyAlignment="1">
      <alignment wrapText="1"/>
    </xf>
    <xf numFmtId="14" fontId="3" fillId="12" borderId="11" xfId="0" applyNumberFormat="1" applyFont="1" applyFill="1" applyBorder="1" applyAlignment="1">
      <alignment wrapText="1"/>
    </xf>
    <xf numFmtId="0" fontId="15" fillId="11" borderId="11" xfId="0" applyFont="1" applyFill="1" applyBorder="1" applyAlignment="1">
      <alignment horizontal="center" wrapText="1"/>
    </xf>
    <xf numFmtId="0" fontId="14" fillId="12" borderId="12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19" xfId="0" applyFont="1" applyFill="1" applyBorder="1" applyAlignment="1">
      <alignment wrapText="1"/>
    </xf>
    <xf numFmtId="0" fontId="16" fillId="12" borderId="19" xfId="0" applyFont="1" applyFill="1" applyBorder="1" applyAlignment="1">
      <alignment wrapText="1"/>
    </xf>
    <xf numFmtId="166" fontId="3" fillId="12" borderId="19" xfId="0" applyNumberFormat="1" applyFont="1" applyFill="1" applyBorder="1" applyAlignment="1">
      <alignment wrapText="1"/>
    </xf>
    <xf numFmtId="166" fontId="3" fillId="12" borderId="19" xfId="0" applyNumberFormat="1" applyFont="1" applyFill="1" applyBorder="1" applyAlignment="1">
      <alignment wrapText="1"/>
    </xf>
    <xf numFmtId="14" fontId="3" fillId="12" borderId="19" xfId="0" applyNumberFormat="1" applyFont="1" applyFill="1" applyBorder="1" applyAlignment="1">
      <alignment wrapText="1"/>
    </xf>
    <xf numFmtId="0" fontId="15" fillId="11" borderId="19" xfId="0" applyFont="1" applyFill="1" applyBorder="1" applyAlignment="1">
      <alignment horizontal="center" wrapText="1"/>
    </xf>
    <xf numFmtId="0" fontId="3" fillId="12" borderId="19" xfId="0" applyFont="1" applyFill="1" applyBorder="1" applyAlignment="1">
      <alignment wrapText="1"/>
    </xf>
    <xf numFmtId="0" fontId="3" fillId="12" borderId="20" xfId="0" applyFont="1" applyFill="1" applyBorder="1" applyAlignment="1">
      <alignment wrapText="1"/>
    </xf>
    <xf numFmtId="0" fontId="16" fillId="12" borderId="25" xfId="0" applyFont="1" applyFill="1" applyBorder="1" applyAlignment="1">
      <alignment wrapText="1"/>
    </xf>
    <xf numFmtId="166" fontId="3" fillId="12" borderId="25" xfId="0" applyNumberFormat="1" applyFont="1" applyFill="1" applyBorder="1" applyAlignment="1">
      <alignment horizontal="right" wrapText="1"/>
    </xf>
    <xf numFmtId="0" fontId="3" fillId="12" borderId="29" xfId="0" applyFont="1" applyFill="1" applyBorder="1" applyAlignment="1">
      <alignment wrapText="1"/>
    </xf>
    <xf numFmtId="0" fontId="3" fillId="12" borderId="27" xfId="0" applyFont="1" applyFill="1" applyBorder="1" applyAlignment="1">
      <alignment wrapText="1"/>
    </xf>
    <xf numFmtId="0" fontId="16" fillId="12" borderId="11" xfId="0" applyFont="1" applyFill="1" applyBorder="1" applyAlignment="1">
      <alignment wrapText="1"/>
    </xf>
    <xf numFmtId="166" fontId="3" fillId="12" borderId="11" xfId="0" applyNumberFormat="1" applyFont="1" applyFill="1" applyBorder="1" applyAlignment="1">
      <alignment horizontal="right" wrapText="1"/>
    </xf>
    <xf numFmtId="0" fontId="14" fillId="12" borderId="13" xfId="0" applyFont="1" applyFill="1" applyBorder="1" applyAlignment="1">
      <alignment wrapText="1"/>
    </xf>
    <xf numFmtId="165" fontId="3" fillId="6" borderId="3" xfId="0" applyNumberFormat="1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166" fontId="3" fillId="6" borderId="3" xfId="0" applyNumberFormat="1" applyFont="1" applyFill="1" applyBorder="1" applyAlignment="1">
      <alignment wrapText="1"/>
    </xf>
    <xf numFmtId="166" fontId="3" fillId="6" borderId="3" xfId="0" applyNumberFormat="1" applyFont="1" applyFill="1" applyBorder="1" applyAlignment="1">
      <alignment wrapText="1"/>
    </xf>
    <xf numFmtId="14" fontId="3" fillId="6" borderId="3" xfId="0" applyNumberFormat="1" applyFont="1" applyFill="1" applyBorder="1" applyAlignment="1">
      <alignment wrapText="1"/>
    </xf>
    <xf numFmtId="0" fontId="15" fillId="11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wrapText="1"/>
    </xf>
    <xf numFmtId="0" fontId="3" fillId="13" borderId="30" xfId="0" applyFont="1" applyFill="1" applyBorder="1" applyAlignment="1">
      <alignment wrapText="1"/>
    </xf>
    <xf numFmtId="166" fontId="3" fillId="12" borderId="3" xfId="0" applyNumberFormat="1" applyFont="1" applyFill="1" applyBorder="1" applyAlignment="1">
      <alignment wrapText="1"/>
    </xf>
    <xf numFmtId="14" fontId="3" fillId="12" borderId="3" xfId="0" applyNumberFormat="1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168" fontId="3" fillId="12" borderId="7" xfId="0" applyNumberFormat="1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0" fontId="3" fillId="6" borderId="19" xfId="0" applyFont="1" applyFill="1" applyBorder="1" applyAlignment="1">
      <alignment wrapText="1"/>
    </xf>
    <xf numFmtId="166" fontId="3" fillId="6" borderId="19" xfId="0" applyNumberFormat="1" applyFont="1" applyFill="1" applyBorder="1" applyAlignment="1">
      <alignment wrapText="1"/>
    </xf>
    <xf numFmtId="166" fontId="3" fillId="6" borderId="19" xfId="0" applyNumberFormat="1" applyFont="1" applyFill="1" applyBorder="1" applyAlignment="1">
      <alignment wrapText="1"/>
    </xf>
    <xf numFmtId="0" fontId="3" fillId="6" borderId="19" xfId="0" applyFont="1" applyFill="1" applyBorder="1" applyAlignment="1">
      <alignment wrapText="1"/>
    </xf>
    <xf numFmtId="14" fontId="3" fillId="6" borderId="19" xfId="0" applyNumberFormat="1" applyFont="1" applyFill="1" applyBorder="1" applyAlignment="1">
      <alignment wrapText="1"/>
    </xf>
    <xf numFmtId="0" fontId="3" fillId="11" borderId="19" xfId="0" applyFont="1" applyFill="1" applyBorder="1" applyAlignment="1">
      <alignment horizontal="center" wrapText="1"/>
    </xf>
    <xf numFmtId="0" fontId="19" fillId="6" borderId="4" xfId="0" applyFont="1" applyFill="1" applyBorder="1" applyAlignment="1">
      <alignment wrapText="1"/>
    </xf>
    <xf numFmtId="166" fontId="17" fillId="12" borderId="4" xfId="0" applyNumberFormat="1" applyFont="1" applyFill="1" applyBorder="1" applyAlignment="1">
      <alignment wrapText="1"/>
    </xf>
    <xf numFmtId="168" fontId="3" fillId="6" borderId="7" xfId="0" applyNumberFormat="1" applyFont="1" applyFill="1" applyBorder="1" applyAlignment="1">
      <alignment wrapText="1"/>
    </xf>
    <xf numFmtId="0" fontId="17" fillId="12" borderId="4" xfId="0" applyFont="1" applyFill="1" applyBorder="1" applyAlignment="1">
      <alignment wrapText="1"/>
    </xf>
    <xf numFmtId="14" fontId="17" fillId="12" borderId="4" xfId="0" applyNumberFormat="1" applyFont="1" applyFill="1" applyBorder="1" applyAlignment="1">
      <alignment wrapText="1"/>
    </xf>
    <xf numFmtId="9" fontId="3" fillId="12" borderId="4" xfId="0" applyNumberFormat="1" applyFont="1" applyFill="1" applyBorder="1" applyAlignment="1">
      <alignment wrapText="1"/>
    </xf>
    <xf numFmtId="14" fontId="3" fillId="12" borderId="7" xfId="0" applyNumberFormat="1" applyFont="1" applyFill="1" applyBorder="1" applyAlignment="1">
      <alignment wrapText="1"/>
    </xf>
    <xf numFmtId="0" fontId="3" fillId="15" borderId="22" xfId="0" applyFont="1" applyFill="1" applyBorder="1" applyAlignment="1">
      <alignment wrapText="1"/>
    </xf>
    <xf numFmtId="0" fontId="15" fillId="11" borderId="4" xfId="0" applyFont="1" applyFill="1" applyBorder="1" applyAlignment="1">
      <alignment horizontal="center" wrapText="1"/>
    </xf>
    <xf numFmtId="0" fontId="3" fillId="12" borderId="22" xfId="0" applyFont="1" applyFill="1" applyBorder="1" applyAlignment="1">
      <alignment wrapText="1"/>
    </xf>
    <xf numFmtId="0" fontId="14" fillId="12" borderId="17" xfId="0" applyFont="1" applyFill="1" applyBorder="1" applyAlignment="1">
      <alignment wrapText="1"/>
    </xf>
    <xf numFmtId="14" fontId="3" fillId="12" borderId="2" xfId="0" applyNumberFormat="1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6" fontId="3" fillId="12" borderId="9" xfId="0" applyNumberFormat="1" applyFont="1" applyFill="1" applyBorder="1" applyAlignment="1">
      <alignment wrapText="1"/>
    </xf>
    <xf numFmtId="14" fontId="3" fillId="12" borderId="9" xfId="0" applyNumberFormat="1" applyFont="1" applyFill="1" applyBorder="1" applyAlignment="1">
      <alignment wrapText="1"/>
    </xf>
    <xf numFmtId="0" fontId="15" fillId="11" borderId="9" xfId="0" applyFont="1" applyFill="1" applyBorder="1" applyAlignment="1">
      <alignment horizontal="center" wrapText="1"/>
    </xf>
    <xf numFmtId="0" fontId="3" fillId="12" borderId="9" xfId="0" applyFont="1" applyFill="1" applyBorder="1" applyAlignment="1">
      <alignment wrapText="1"/>
    </xf>
    <xf numFmtId="0" fontId="14" fillId="12" borderId="31" xfId="0" applyFont="1" applyFill="1" applyBorder="1" applyAlignment="1">
      <alignment wrapText="1"/>
    </xf>
    <xf numFmtId="4" fontId="3" fillId="0" borderId="32" xfId="0" applyNumberFormat="1" applyFont="1" applyBorder="1" applyAlignment="1">
      <alignment wrapText="1"/>
    </xf>
    <xf numFmtId="4" fontId="3" fillId="0" borderId="25" xfId="0" applyNumberFormat="1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12" borderId="10" xfId="0" applyFont="1" applyFill="1" applyBorder="1" applyAlignment="1">
      <alignment wrapText="1"/>
    </xf>
    <xf numFmtId="0" fontId="3" fillId="12" borderId="10" xfId="0" applyFont="1" applyFill="1" applyBorder="1" applyAlignment="1">
      <alignment wrapText="1"/>
    </xf>
    <xf numFmtId="0" fontId="3" fillId="12" borderId="34" xfId="0" applyFont="1" applyFill="1" applyBorder="1" applyAlignment="1">
      <alignment wrapText="1"/>
    </xf>
    <xf numFmtId="166" fontId="3" fillId="12" borderId="34" xfId="0" applyNumberFormat="1" applyFont="1" applyFill="1" applyBorder="1" applyAlignment="1">
      <alignment wrapText="1"/>
    </xf>
    <xf numFmtId="14" fontId="3" fillId="12" borderId="34" xfId="0" applyNumberFormat="1" applyFont="1" applyFill="1" applyBorder="1" applyAlignment="1">
      <alignment wrapText="1"/>
    </xf>
    <xf numFmtId="0" fontId="15" fillId="11" borderId="34" xfId="0" applyFont="1" applyFill="1" applyBorder="1" applyAlignment="1">
      <alignment horizontal="center" wrapText="1"/>
    </xf>
    <xf numFmtId="0" fontId="3" fillId="12" borderId="34" xfId="0" applyFont="1" applyFill="1" applyBorder="1" applyAlignment="1">
      <alignment wrapText="1"/>
    </xf>
    <xf numFmtId="0" fontId="14" fillId="12" borderId="35" xfId="0" applyFont="1" applyFill="1" applyBorder="1" applyAlignment="1">
      <alignment wrapText="1"/>
    </xf>
    <xf numFmtId="4" fontId="3" fillId="0" borderId="36" xfId="0" applyNumberFormat="1" applyFont="1" applyBorder="1" applyAlignment="1">
      <alignment wrapText="1"/>
    </xf>
    <xf numFmtId="4" fontId="3" fillId="0" borderId="11" xfId="0" applyNumberFormat="1" applyFont="1" applyBorder="1" applyAlignment="1">
      <alignment wrapText="1"/>
    </xf>
    <xf numFmtId="0" fontId="3" fillId="0" borderId="37" xfId="0" applyFont="1" applyBorder="1" applyAlignment="1">
      <alignment wrapText="1"/>
    </xf>
    <xf numFmtId="0" fontId="3" fillId="6" borderId="18" xfId="0" applyFont="1" applyFill="1" applyBorder="1" applyAlignment="1">
      <alignment wrapText="1"/>
    </xf>
    <xf numFmtId="0" fontId="16" fillId="6" borderId="19" xfId="0" applyFont="1" applyFill="1" applyBorder="1" applyAlignment="1">
      <alignment wrapText="1"/>
    </xf>
    <xf numFmtId="166" fontId="17" fillId="6" borderId="19" xfId="0" applyNumberFormat="1" applyFont="1" applyFill="1" applyBorder="1" applyAlignment="1">
      <alignment wrapText="1"/>
    </xf>
    <xf numFmtId="167" fontId="17" fillId="6" borderId="19" xfId="0" applyNumberFormat="1" applyFont="1" applyFill="1" applyBorder="1" applyAlignment="1">
      <alignment horizontal="right" wrapText="1"/>
    </xf>
    <xf numFmtId="0" fontId="3" fillId="6" borderId="20" xfId="0" applyFont="1" applyFill="1" applyBorder="1" applyAlignment="1">
      <alignment wrapText="1"/>
    </xf>
    <xf numFmtId="0" fontId="3" fillId="6" borderId="23" xfId="0" applyFont="1" applyFill="1" applyBorder="1" applyAlignment="1">
      <alignment wrapText="1"/>
    </xf>
    <xf numFmtId="166" fontId="17" fillId="6" borderId="4" xfId="0" applyNumberFormat="1" applyFont="1" applyFill="1" applyBorder="1" applyAlignment="1">
      <alignment wrapText="1"/>
    </xf>
    <xf numFmtId="166" fontId="17" fillId="6" borderId="4" xfId="0" applyNumberFormat="1" applyFont="1" applyFill="1" applyBorder="1" applyAlignment="1">
      <alignment wrapText="1"/>
    </xf>
    <xf numFmtId="0" fontId="17" fillId="0" borderId="0" xfId="0" applyFont="1" applyAlignment="1"/>
    <xf numFmtId="0" fontId="14" fillId="12" borderId="23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166" fontId="10" fillId="12" borderId="4" xfId="0" applyNumberFormat="1" applyFont="1" applyFill="1" applyBorder="1" applyAlignment="1">
      <alignment wrapText="1"/>
    </xf>
    <xf numFmtId="0" fontId="3" fillId="12" borderId="23" xfId="0" applyFont="1" applyFill="1" applyBorder="1" applyAlignment="1">
      <alignment wrapText="1"/>
    </xf>
    <xf numFmtId="166" fontId="17" fillId="12" borderId="4" xfId="0" applyNumberFormat="1" applyFont="1" applyFill="1" applyBorder="1" applyAlignment="1">
      <alignment wrapText="1"/>
    </xf>
    <xf numFmtId="0" fontId="17" fillId="6" borderId="22" xfId="0" applyFont="1" applyFill="1" applyBorder="1" applyAlignment="1">
      <alignment wrapText="1"/>
    </xf>
    <xf numFmtId="0" fontId="3" fillId="6" borderId="24" xfId="0" applyFont="1" applyFill="1" applyBorder="1" applyAlignment="1">
      <alignment wrapText="1"/>
    </xf>
    <xf numFmtId="0" fontId="3" fillId="6" borderId="25" xfId="0" applyFont="1" applyFill="1" applyBorder="1" applyAlignment="1">
      <alignment wrapText="1"/>
    </xf>
    <xf numFmtId="0" fontId="16" fillId="6" borderId="25" xfId="0" applyFont="1" applyFill="1" applyBorder="1" applyAlignment="1">
      <alignment wrapText="1"/>
    </xf>
    <xf numFmtId="166" fontId="17" fillId="6" borderId="25" xfId="0" applyNumberFormat="1" applyFont="1" applyFill="1" applyBorder="1" applyAlignment="1">
      <alignment wrapText="1"/>
    </xf>
    <xf numFmtId="166" fontId="17" fillId="6" borderId="25" xfId="0" applyNumberFormat="1" applyFont="1" applyFill="1" applyBorder="1" applyAlignment="1">
      <alignment wrapText="1"/>
    </xf>
    <xf numFmtId="0" fontId="3" fillId="6" borderId="25" xfId="0" applyFont="1" applyFill="1" applyBorder="1" applyAlignment="1">
      <alignment wrapText="1"/>
    </xf>
    <xf numFmtId="14" fontId="3" fillId="6" borderId="25" xfId="0" applyNumberFormat="1" applyFont="1" applyFill="1" applyBorder="1" applyAlignment="1">
      <alignment wrapText="1"/>
    </xf>
    <xf numFmtId="0" fontId="4" fillId="0" borderId="0" xfId="0" applyFont="1" applyAlignment="1"/>
    <xf numFmtId="0" fontId="3" fillId="12" borderId="38" xfId="0" applyFont="1" applyFill="1" applyBorder="1" applyAlignment="1">
      <alignment wrapText="1"/>
    </xf>
    <xf numFmtId="0" fontId="3" fillId="12" borderId="6" xfId="0" applyFont="1" applyFill="1" applyBorder="1" applyAlignment="1">
      <alignment wrapText="1"/>
    </xf>
    <xf numFmtId="0" fontId="3" fillId="12" borderId="39" xfId="0" applyFont="1" applyFill="1" applyBorder="1" applyAlignment="1">
      <alignment wrapText="1"/>
    </xf>
    <xf numFmtId="168" fontId="3" fillId="6" borderId="27" xfId="0" applyNumberFormat="1" applyFont="1" applyFill="1" applyBorder="1" applyAlignment="1">
      <alignment wrapText="1"/>
    </xf>
    <xf numFmtId="0" fontId="3" fillId="6" borderId="27" xfId="0" applyFont="1" applyFill="1" applyBorder="1" applyAlignment="1">
      <alignment wrapText="1"/>
    </xf>
    <xf numFmtId="0" fontId="3" fillId="6" borderId="11" xfId="0" applyFont="1" applyFill="1" applyBorder="1" applyAlignment="1">
      <alignment wrapText="1"/>
    </xf>
    <xf numFmtId="0" fontId="16" fillId="6" borderId="11" xfId="0" applyFont="1" applyFill="1" applyBorder="1" applyAlignment="1">
      <alignment wrapText="1"/>
    </xf>
    <xf numFmtId="166" fontId="3" fillId="6" borderId="11" xfId="0" applyNumberFormat="1" applyFont="1" applyFill="1" applyBorder="1" applyAlignment="1">
      <alignment wrapText="1"/>
    </xf>
    <xf numFmtId="166" fontId="3" fillId="6" borderId="11" xfId="0" applyNumberFormat="1" applyFont="1" applyFill="1" applyBorder="1" applyAlignment="1">
      <alignment wrapText="1"/>
    </xf>
    <xf numFmtId="14" fontId="3" fillId="6" borderId="11" xfId="0" applyNumberFormat="1" applyFont="1" applyFill="1" applyBorder="1" applyAlignment="1">
      <alignment wrapText="1"/>
    </xf>
    <xf numFmtId="0" fontId="3" fillId="6" borderId="11" xfId="0" applyFont="1" applyFill="1" applyBorder="1" applyAlignment="1">
      <alignment wrapText="1"/>
    </xf>
    <xf numFmtId="0" fontId="3" fillId="6" borderId="12" xfId="0" applyFont="1" applyFill="1" applyBorder="1" applyAlignment="1">
      <alignment wrapText="1"/>
    </xf>
    <xf numFmtId="168" fontId="3" fillId="6" borderId="3" xfId="0" applyNumberFormat="1" applyFont="1" applyFill="1" applyBorder="1" applyAlignment="1">
      <alignment wrapText="1"/>
    </xf>
    <xf numFmtId="0" fontId="3" fillId="12" borderId="17" xfId="0" applyFont="1" applyFill="1" applyBorder="1" applyAlignment="1">
      <alignment wrapText="1"/>
    </xf>
    <xf numFmtId="9" fontId="3" fillId="6" borderId="4" xfId="0" applyNumberFormat="1" applyFont="1" applyFill="1" applyBorder="1" applyAlignment="1">
      <alignment wrapText="1"/>
    </xf>
    <xf numFmtId="167" fontId="3" fillId="6" borderId="4" xfId="0" applyNumberFormat="1" applyFont="1" applyFill="1" applyBorder="1" applyAlignment="1">
      <alignment wrapText="1"/>
    </xf>
    <xf numFmtId="0" fontId="3" fillId="11" borderId="4" xfId="0" applyFont="1" applyFill="1" applyBorder="1" applyAlignment="1">
      <alignment horizontal="center" wrapText="1"/>
    </xf>
    <xf numFmtId="166" fontId="1" fillId="12" borderId="4" xfId="0" applyNumberFormat="1" applyFont="1" applyFill="1" applyBorder="1" applyAlignment="1">
      <alignment wrapText="1"/>
    </xf>
    <xf numFmtId="166" fontId="14" fillId="12" borderId="4" xfId="0" applyNumberFormat="1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11" borderId="4" xfId="0" applyFont="1" applyFill="1" applyBorder="1" applyAlignment="1">
      <alignment horizontal="center" wrapText="1"/>
    </xf>
    <xf numFmtId="0" fontId="3" fillId="12" borderId="5" xfId="0" applyFont="1" applyFill="1" applyBorder="1" applyAlignment="1">
      <alignment wrapText="1"/>
    </xf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0" fontId="3" fillId="11" borderId="25" xfId="0" applyFont="1" applyFill="1" applyBorder="1" applyAlignment="1">
      <alignment horizontal="center" wrapText="1"/>
    </xf>
    <xf numFmtId="0" fontId="3" fillId="12" borderId="40" xfId="0" applyFont="1" applyFill="1" applyBorder="1" applyAlignment="1">
      <alignment wrapText="1"/>
    </xf>
    <xf numFmtId="9" fontId="3" fillId="12" borderId="25" xfId="0" applyNumberFormat="1" applyFont="1" applyFill="1" applyBorder="1" applyAlignment="1">
      <alignment wrapText="1"/>
    </xf>
    <xf numFmtId="0" fontId="3" fillId="11" borderId="25" xfId="0" applyFont="1" applyFill="1" applyBorder="1" applyAlignment="1">
      <alignment horizontal="center" wrapText="1"/>
    </xf>
    <xf numFmtId="0" fontId="3" fillId="12" borderId="40" xfId="0" applyFont="1" applyFill="1" applyBorder="1" applyAlignment="1">
      <alignment wrapText="1"/>
    </xf>
    <xf numFmtId="0" fontId="14" fillId="12" borderId="25" xfId="0" applyFont="1" applyFill="1" applyBorder="1" applyAlignment="1">
      <alignment wrapText="1"/>
    </xf>
    <xf numFmtId="0" fontId="14" fillId="12" borderId="22" xfId="0" applyFont="1" applyFill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0" fontId="21" fillId="0" borderId="0" xfId="0" applyFont="1" applyAlignment="1">
      <alignment wrapText="1"/>
    </xf>
    <xf numFmtId="166" fontId="21" fillId="0" borderId="0" xfId="0" applyNumberFormat="1" applyFont="1" applyAlignment="1">
      <alignment wrapText="1"/>
    </xf>
    <xf numFmtId="0" fontId="3" fillId="3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3" fillId="0" borderId="0" xfId="0" applyFont="1" applyAlignment="1">
      <alignment wrapText="1"/>
    </xf>
    <xf numFmtId="166" fontId="3" fillId="0" borderId="0" xfId="0" applyNumberFormat="1" applyFont="1" applyAlignment="1">
      <alignment wrapText="1"/>
    </xf>
    <xf numFmtId="49" fontId="4" fillId="0" borderId="4" xfId="0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wrapText="1"/>
    </xf>
    <xf numFmtId="0" fontId="3" fillId="12" borderId="6" xfId="0" applyFont="1" applyFill="1" applyBorder="1" applyAlignment="1">
      <alignment wrapText="1"/>
    </xf>
    <xf numFmtId="0" fontId="24" fillId="18" borderId="4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26" fillId="0" borderId="4" xfId="0" applyFont="1" applyBorder="1" applyAlignment="1"/>
    <xf numFmtId="166" fontId="25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/>
    <xf numFmtId="0" fontId="0" fillId="0" borderId="4" xfId="0" applyFont="1" applyBorder="1" applyAlignment="1">
      <alignment horizontal="left"/>
    </xf>
    <xf numFmtId="0" fontId="25" fillId="0" borderId="3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169" fontId="25" fillId="0" borderId="7" xfId="0" applyNumberFormat="1" applyFont="1" applyBorder="1" applyAlignment="1">
      <alignment horizontal="center"/>
    </xf>
    <xf numFmtId="167" fontId="25" fillId="0" borderId="7" xfId="0" applyNumberFormat="1" applyFont="1" applyBorder="1" applyAlignment="1">
      <alignment horizontal="center"/>
    </xf>
    <xf numFmtId="0" fontId="4" fillId="0" borderId="4" xfId="0" applyFont="1" applyBorder="1"/>
    <xf numFmtId="0" fontId="25" fillId="0" borderId="19" xfId="0" applyFont="1" applyBorder="1" applyAlignment="1">
      <alignment horizontal="center"/>
    </xf>
    <xf numFmtId="0" fontId="28" fillId="0" borderId="3" xfId="0" applyFont="1" applyBorder="1" applyAlignment="1"/>
    <xf numFmtId="167" fontId="25" fillId="0" borderId="3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3" fillId="0" borderId="4" xfId="0" applyFont="1" applyBorder="1" applyAlignment="1"/>
    <xf numFmtId="0" fontId="4" fillId="13" borderId="4" xfId="0" applyFont="1" applyFill="1" applyBorder="1" applyAlignment="1"/>
    <xf numFmtId="0" fontId="0" fillId="6" borderId="4" xfId="0" applyFont="1" applyFill="1" applyBorder="1" applyAlignment="1">
      <alignment horizontal="left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8" fillId="0" borderId="7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31" fillId="0" borderId="4" xfId="0" applyFont="1" applyBorder="1" applyAlignment="1"/>
    <xf numFmtId="0" fontId="24" fillId="18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center"/>
    </xf>
    <xf numFmtId="0" fontId="32" fillId="0" borderId="4" xfId="0" applyFont="1" applyBorder="1" applyAlignment="1"/>
    <xf numFmtId="0" fontId="23" fillId="0" borderId="0" xfId="0" applyFont="1" applyAlignment="1"/>
    <xf numFmtId="0" fontId="23" fillId="19" borderId="0" xfId="0" applyFont="1" applyFill="1" applyAlignment="1"/>
    <xf numFmtId="0" fontId="33" fillId="0" borderId="0" xfId="0" applyFont="1" applyAlignment="1"/>
    <xf numFmtId="2" fontId="4" fillId="0" borderId="4" xfId="0" applyNumberFormat="1" applyFont="1" applyBorder="1"/>
    <xf numFmtId="0" fontId="23" fillId="0" borderId="4" xfId="0" applyFont="1" applyBorder="1" applyAlignment="1"/>
    <xf numFmtId="0" fontId="4" fillId="2" borderId="4" xfId="0" applyFont="1" applyFill="1" applyBorder="1" applyAlignment="1"/>
    <xf numFmtId="0" fontId="0" fillId="6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8" fillId="0" borderId="7" xfId="0" applyFont="1" applyBorder="1" applyAlignment="1"/>
    <xf numFmtId="0" fontId="25" fillId="0" borderId="19" xfId="0" applyFont="1" applyBorder="1" applyAlignment="1">
      <alignment horizontal="center"/>
    </xf>
    <xf numFmtId="0" fontId="28" fillId="0" borderId="3" xfId="0" applyFont="1" applyBorder="1" applyAlignment="1"/>
    <xf numFmtId="167" fontId="23" fillId="0" borderId="4" xfId="0" applyNumberFormat="1" applyFont="1" applyBorder="1" applyAlignment="1"/>
    <xf numFmtId="167" fontId="4" fillId="13" borderId="4" xfId="0" applyNumberFormat="1" applyFont="1" applyFill="1" applyBorder="1"/>
    <xf numFmtId="0" fontId="34" fillId="0" borderId="0" xfId="0" applyFont="1" applyAlignment="1"/>
    <xf numFmtId="2" fontId="4" fillId="0" borderId="0" xfId="0" applyNumberFormat="1" applyFont="1"/>
    <xf numFmtId="0" fontId="4" fillId="7" borderId="41" xfId="0" applyFont="1" applyFill="1" applyBorder="1" applyAlignment="1">
      <alignment vertical="center"/>
    </xf>
    <xf numFmtId="0" fontId="4" fillId="7" borderId="42" xfId="0" applyFont="1" applyFill="1" applyBorder="1" applyAlignment="1">
      <alignment vertical="center"/>
    </xf>
    <xf numFmtId="0" fontId="4" fillId="7" borderId="43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vertical="center"/>
    </xf>
    <xf numFmtId="0" fontId="35" fillId="13" borderId="0" xfId="0" applyFont="1" applyFill="1" applyAlignment="1">
      <alignment horizontal="left"/>
    </xf>
    <xf numFmtId="0" fontId="4" fillId="13" borderId="44" xfId="0" applyFont="1" applyFill="1" applyBorder="1" applyAlignment="1"/>
    <xf numFmtId="2" fontId="4" fillId="13" borderId="45" xfId="0" applyNumberFormat="1" applyFont="1" applyFill="1" applyBorder="1"/>
    <xf numFmtId="0" fontId="4" fillId="5" borderId="0" xfId="0" applyFont="1" applyFill="1"/>
    <xf numFmtId="0" fontId="4" fillId="2" borderId="46" xfId="0" applyFont="1" applyFill="1" applyBorder="1" applyAlignment="1"/>
    <xf numFmtId="0" fontId="4" fillId="2" borderId="44" xfId="0" applyFont="1" applyFill="1" applyBorder="1" applyAlignment="1"/>
    <xf numFmtId="2" fontId="4" fillId="2" borderId="45" xfId="0" applyNumberFormat="1" applyFont="1" applyFill="1" applyBorder="1" applyAlignment="1"/>
    <xf numFmtId="0" fontId="4" fillId="13" borderId="46" xfId="0" applyFont="1" applyFill="1" applyBorder="1" applyAlignment="1"/>
    <xf numFmtId="2" fontId="4" fillId="13" borderId="45" xfId="0" applyNumberFormat="1" applyFont="1" applyFill="1" applyBorder="1" applyAlignment="1"/>
    <xf numFmtId="0" fontId="4" fillId="13" borderId="46" xfId="0" applyFont="1" applyFill="1" applyBorder="1" applyAlignment="1"/>
    <xf numFmtId="0" fontId="4" fillId="5" borderId="46" xfId="0" applyFont="1" applyFill="1" applyBorder="1" applyAlignment="1"/>
    <xf numFmtId="0" fontId="4" fillId="5" borderId="44" xfId="0" applyFont="1" applyFill="1" applyBorder="1" applyAlignment="1"/>
    <xf numFmtId="2" fontId="4" fillId="5" borderId="45" xfId="0" applyNumberFormat="1" applyFont="1" applyFill="1" applyBorder="1"/>
    <xf numFmtId="0" fontId="0" fillId="5" borderId="0" xfId="0" applyFont="1" applyFill="1" applyAlignment="1"/>
    <xf numFmtId="0" fontId="27" fillId="0" borderId="0" xfId="0" applyFont="1" applyAlignment="1"/>
    <xf numFmtId="0" fontId="0" fillId="5" borderId="0" xfId="0" applyFont="1" applyFill="1" applyAlignment="1">
      <alignment horizontal="left"/>
    </xf>
    <xf numFmtId="170" fontId="4" fillId="13" borderId="46" xfId="0" applyNumberFormat="1" applyFont="1" applyFill="1" applyBorder="1" applyAlignment="1"/>
    <xf numFmtId="0" fontId="4" fillId="0" borderId="46" xfId="0" applyFont="1" applyBorder="1"/>
    <xf numFmtId="0" fontId="4" fillId="0" borderId="44" xfId="0" applyFont="1" applyBorder="1"/>
    <xf numFmtId="2" fontId="4" fillId="0" borderId="45" xfId="0" applyNumberFormat="1" applyFont="1" applyBorder="1"/>
    <xf numFmtId="0" fontId="4" fillId="0" borderId="47" xfId="0" applyFont="1" applyBorder="1"/>
    <xf numFmtId="0" fontId="4" fillId="0" borderId="48" xfId="0" applyFont="1" applyBorder="1"/>
    <xf numFmtId="2" fontId="4" fillId="0" borderId="49" xfId="0" applyNumberFormat="1" applyFont="1" applyBorder="1"/>
    <xf numFmtId="0" fontId="36" fillId="0" borderId="4" xfId="0" applyFont="1" applyBorder="1" applyAlignment="1">
      <alignment horizontal="left" vertical="center" wrapText="1"/>
    </xf>
    <xf numFmtId="166" fontId="4" fillId="0" borderId="4" xfId="0" applyNumberFormat="1" applyFont="1" applyBorder="1" applyAlignment="1"/>
    <xf numFmtId="0" fontId="2" fillId="0" borderId="4" xfId="0" applyFont="1" applyBorder="1" applyAlignment="1"/>
    <xf numFmtId="169" fontId="4" fillId="0" borderId="4" xfId="0" applyNumberFormat="1" applyFont="1" applyBorder="1" applyAlignment="1"/>
    <xf numFmtId="0" fontId="25" fillId="0" borderId="4" xfId="0" applyFont="1" applyBorder="1" applyAlignment="1">
      <alignment horizontal="left"/>
    </xf>
    <xf numFmtId="0" fontId="37" fillId="6" borderId="4" xfId="0" applyFont="1" applyFill="1" applyBorder="1" applyAlignment="1">
      <alignment horizontal="left"/>
    </xf>
    <xf numFmtId="0" fontId="25" fillId="0" borderId="4" xfId="0" applyFont="1" applyBorder="1" applyAlignment="1">
      <alignment horizontal="left" vertical="center"/>
    </xf>
    <xf numFmtId="166" fontId="4" fillId="0" borderId="0" xfId="0" applyNumberFormat="1" applyFont="1"/>
    <xf numFmtId="166" fontId="4" fillId="0" borderId="4" xfId="0" applyNumberFormat="1" applyFont="1" applyBorder="1" applyAlignment="1"/>
    <xf numFmtId="167" fontId="4" fillId="0" borderId="4" xfId="0" applyNumberFormat="1" applyFont="1" applyBorder="1" applyAlignment="1"/>
    <xf numFmtId="0" fontId="38" fillId="0" borderId="4" xfId="0" applyFont="1" applyBorder="1" applyAlignment="1">
      <alignment horizontal="center" vertical="center"/>
    </xf>
    <xf numFmtId="0" fontId="39" fillId="0" borderId="4" xfId="0" applyFont="1" applyBorder="1" applyAlignment="1"/>
    <xf numFmtId="0" fontId="40" fillId="0" borderId="4" xfId="0" applyFont="1" applyBorder="1" applyAlignment="1"/>
    <xf numFmtId="0" fontId="41" fillId="18" borderId="5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21" borderId="4" xfId="0" applyFont="1" applyFill="1" applyBorder="1" applyAlignment="1">
      <alignment horizontal="center" vertical="center"/>
    </xf>
    <xf numFmtId="0" fontId="42" fillId="6" borderId="4" xfId="0" applyFont="1" applyFill="1" applyBorder="1" applyAlignment="1"/>
    <xf numFmtId="0" fontId="25" fillId="21" borderId="4" xfId="0" applyFont="1" applyFill="1" applyBorder="1" applyAlignment="1">
      <alignment horizontal="left" vertical="center"/>
    </xf>
    <xf numFmtId="0" fontId="43" fillId="6" borderId="4" xfId="0" applyFont="1" applyFill="1" applyBorder="1" applyAlignment="1"/>
    <xf numFmtId="0" fontId="25" fillId="6" borderId="4" xfId="0" applyFont="1" applyFill="1" applyBorder="1" applyAlignment="1">
      <alignment horizontal="left" vertical="center"/>
    </xf>
    <xf numFmtId="0" fontId="25" fillId="17" borderId="4" xfId="0" applyFont="1" applyFill="1" applyBorder="1" applyAlignment="1">
      <alignment horizontal="left"/>
    </xf>
    <xf numFmtId="0" fontId="44" fillId="6" borderId="4" xfId="0" applyFont="1" applyFill="1" applyBorder="1" applyAlignment="1">
      <alignment horizontal="left"/>
    </xf>
    <xf numFmtId="0" fontId="25" fillId="0" borderId="4" xfId="0" applyFont="1" applyBorder="1" applyAlignment="1">
      <alignment horizontal="center" vertical="center"/>
    </xf>
    <xf numFmtId="0" fontId="25" fillId="17" borderId="4" xfId="0" applyFont="1" applyFill="1" applyBorder="1" applyAlignment="1">
      <alignment horizontal="left" vertical="center"/>
    </xf>
    <xf numFmtId="0" fontId="45" fillId="0" borderId="4" xfId="0" applyFont="1" applyBorder="1" applyAlignment="1">
      <alignment horizontal="center"/>
    </xf>
    <xf numFmtId="0" fontId="46" fillId="21" borderId="4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2" borderId="4" xfId="0" applyFont="1" applyFill="1" applyBorder="1" applyAlignment="1"/>
    <xf numFmtId="0" fontId="47" fillId="17" borderId="4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166" fontId="4" fillId="0" borderId="0" xfId="0" applyNumberFormat="1" applyFont="1" applyAlignment="1"/>
    <xf numFmtId="0" fontId="4" fillId="23" borderId="4" xfId="0" applyFont="1" applyFill="1" applyBorder="1" applyAlignment="1"/>
    <xf numFmtId="166" fontId="4" fillId="0" borderId="4" xfId="0" applyNumberFormat="1" applyFont="1" applyBorder="1" applyAlignment="1"/>
    <xf numFmtId="0" fontId="48" fillId="17" borderId="4" xfId="0" applyFont="1" applyFill="1" applyBorder="1" applyAlignment="1">
      <alignment horizontal="left"/>
    </xf>
    <xf numFmtId="0" fontId="49" fillId="17" borderId="0" xfId="0" applyFont="1" applyFill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2" fillId="21" borderId="0" xfId="0" applyFont="1" applyFill="1" applyAlignment="1">
      <alignment horizontal="left"/>
    </xf>
    <xf numFmtId="0" fontId="41" fillId="0" borderId="4" xfId="0" applyFont="1" applyBorder="1" applyAlignment="1">
      <alignment horizontal="center" vertical="center"/>
    </xf>
    <xf numFmtId="0" fontId="53" fillId="21" borderId="4" xfId="0" applyFont="1" applyFill="1" applyBorder="1" applyAlignment="1">
      <alignment horizontal="left"/>
    </xf>
    <xf numFmtId="0" fontId="53" fillId="6" borderId="4" xfId="0" applyFont="1" applyFill="1" applyBorder="1" applyAlignment="1">
      <alignment horizontal="left" vertical="center"/>
    </xf>
    <xf numFmtId="0" fontId="53" fillId="21" borderId="4" xfId="0" applyFont="1" applyFill="1" applyBorder="1" applyAlignment="1">
      <alignment horizontal="left"/>
    </xf>
    <xf numFmtId="0" fontId="53" fillId="21" borderId="4" xfId="0" applyFont="1" applyFill="1" applyBorder="1" applyAlignment="1">
      <alignment horizontal="left" vertical="center"/>
    </xf>
    <xf numFmtId="0" fontId="53" fillId="21" borderId="4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54" fillId="21" borderId="4" xfId="0" applyFont="1" applyFill="1" applyBorder="1" applyAlignment="1">
      <alignment horizontal="left" vertical="center"/>
    </xf>
    <xf numFmtId="0" fontId="43" fillId="6" borderId="4" xfId="0" applyFont="1" applyFill="1" applyBorder="1" applyAlignment="1">
      <alignment horizontal="left"/>
    </xf>
    <xf numFmtId="0" fontId="55" fillId="0" borderId="1" xfId="0" applyFont="1" applyBorder="1" applyAlignment="1"/>
    <xf numFmtId="0" fontId="56" fillId="21" borderId="0" xfId="0" applyFont="1" applyFill="1" applyAlignment="1">
      <alignment horizontal="left" vertical="center"/>
    </xf>
    <xf numFmtId="0" fontId="44" fillId="21" borderId="4" xfId="0" applyFont="1" applyFill="1" applyBorder="1" applyAlignment="1">
      <alignment horizontal="left"/>
    </xf>
    <xf numFmtId="0" fontId="57" fillId="0" borderId="4" xfId="0" applyFont="1" applyBorder="1" applyAlignment="1">
      <alignment horizontal="center" vertical="center"/>
    </xf>
    <xf numFmtId="0" fontId="58" fillId="21" borderId="4" xfId="0" applyFont="1" applyFill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3" fillId="25" borderId="4" xfId="0" applyFont="1" applyFill="1" applyBorder="1" applyAlignment="1">
      <alignment horizontal="left" vertical="center"/>
    </xf>
    <xf numFmtId="0" fontId="53" fillId="25" borderId="4" xfId="0" applyFont="1" applyFill="1" applyBorder="1" applyAlignment="1">
      <alignment horizontal="left"/>
    </xf>
    <xf numFmtId="0" fontId="57" fillId="0" borderId="0" xfId="0" applyFont="1" applyAlignment="1">
      <alignment horizontal="center" vertical="center"/>
    </xf>
    <xf numFmtId="0" fontId="55" fillId="0" borderId="4" xfId="0" applyFont="1" applyBorder="1" applyAlignment="1"/>
    <xf numFmtId="0" fontId="24" fillId="0" borderId="4" xfId="0" applyFont="1" applyBorder="1" applyAlignment="1">
      <alignment horizontal="left" vertical="center"/>
    </xf>
    <xf numFmtId="0" fontId="60" fillId="25" borderId="4" xfId="0" applyFont="1" applyFill="1" applyBorder="1" applyAlignment="1">
      <alignment horizontal="left" vertical="center"/>
    </xf>
    <xf numFmtId="0" fontId="53" fillId="6" borderId="4" xfId="0" applyFont="1" applyFill="1" applyBorder="1" applyAlignment="1">
      <alignment horizontal="left"/>
    </xf>
    <xf numFmtId="0" fontId="61" fillId="0" borderId="4" xfId="0" applyFont="1" applyBorder="1" applyAlignment="1">
      <alignment horizontal="left" vertical="center"/>
    </xf>
    <xf numFmtId="0" fontId="62" fillId="25" borderId="0" xfId="0" applyFont="1" applyFill="1" applyAlignment="1"/>
    <xf numFmtId="0" fontId="53" fillId="25" borderId="4" xfId="0" applyFont="1" applyFill="1" applyBorder="1" applyAlignment="1">
      <alignment horizontal="left"/>
    </xf>
    <xf numFmtId="0" fontId="53" fillId="25" borderId="4" xfId="0" applyFont="1" applyFill="1" applyBorder="1" applyAlignment="1">
      <alignment horizontal="left" vertical="center"/>
    </xf>
    <xf numFmtId="0" fontId="53" fillId="0" borderId="4" xfId="0" applyFont="1" applyBorder="1" applyAlignment="1">
      <alignment horizontal="center" vertical="center"/>
    </xf>
    <xf numFmtId="0" fontId="0" fillId="6" borderId="4" xfId="0" applyFont="1" applyFill="1" applyBorder="1" applyAlignment="1">
      <alignment vertical="top" wrapText="1"/>
    </xf>
    <xf numFmtId="0" fontId="24" fillId="18" borderId="5" xfId="0" applyFont="1" applyFill="1" applyBorder="1" applyAlignment="1">
      <alignment horizontal="center" vertical="center"/>
    </xf>
    <xf numFmtId="0" fontId="63" fillId="6" borderId="4" xfId="0" applyFont="1" applyFill="1" applyBorder="1" applyAlignment="1">
      <alignment vertical="top"/>
    </xf>
    <xf numFmtId="0" fontId="53" fillId="25" borderId="4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41" fillId="0" borderId="4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" fillId="6" borderId="51" xfId="0" applyFont="1" applyFill="1" applyBorder="1" applyAlignment="1"/>
    <xf numFmtId="0" fontId="53" fillId="6" borderId="4" xfId="0" applyFont="1" applyFill="1" applyBorder="1" applyAlignment="1">
      <alignment horizontal="left" vertical="center"/>
    </xf>
    <xf numFmtId="0" fontId="65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6" borderId="51" xfId="0" applyFont="1" applyFill="1" applyBorder="1" applyAlignment="1"/>
    <xf numFmtId="166" fontId="4" fillId="0" borderId="4" xfId="0" applyNumberFormat="1" applyFont="1" applyBorder="1"/>
    <xf numFmtId="0" fontId="25" fillId="2" borderId="4" xfId="0" applyFont="1" applyFill="1" applyBorder="1" applyAlignment="1">
      <alignment horizontal="left"/>
    </xf>
    <xf numFmtId="0" fontId="25" fillId="2" borderId="4" xfId="0" applyFont="1" applyFill="1" applyBorder="1" applyAlignment="1">
      <alignment horizontal="left"/>
    </xf>
    <xf numFmtId="0" fontId="66" fillId="2" borderId="4" xfId="0" applyFont="1" applyFill="1" applyBorder="1" applyAlignment="1">
      <alignment horizontal="left"/>
    </xf>
    <xf numFmtId="164" fontId="25" fillId="2" borderId="4" xfId="0" applyNumberFormat="1" applyFont="1" applyFill="1" applyBorder="1" applyAlignment="1">
      <alignment horizontal="left"/>
    </xf>
    <xf numFmtId="0" fontId="4" fillId="2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67" fillId="26" borderId="4" xfId="0" applyFont="1" applyFill="1" applyBorder="1" applyAlignment="1">
      <alignment horizontal="left"/>
    </xf>
    <xf numFmtId="0" fontId="4" fillId="26" borderId="4" xfId="0" applyFont="1" applyFill="1" applyBorder="1" applyAlignment="1"/>
    <xf numFmtId="0" fontId="25" fillId="26" borderId="4" xfId="0" applyFont="1" applyFill="1" applyBorder="1" applyAlignment="1">
      <alignment horizontal="left" vertical="center"/>
    </xf>
    <xf numFmtId="0" fontId="4" fillId="26" borderId="4" xfId="0" applyFont="1" applyFill="1" applyBorder="1"/>
    <xf numFmtId="0" fontId="68" fillId="8" borderId="4" xfId="0" applyFont="1" applyFill="1" applyBorder="1" applyAlignment="1"/>
    <xf numFmtId="0" fontId="68" fillId="0" borderId="4" xfId="0" applyFont="1" applyBorder="1" applyAlignment="1"/>
    <xf numFmtId="0" fontId="4" fillId="8" borderId="4" xfId="0" applyFont="1" applyFill="1" applyBorder="1" applyAlignment="1"/>
    <xf numFmtId="167" fontId="68" fillId="8" borderId="4" xfId="0" applyNumberFormat="1" applyFont="1" applyFill="1" applyBorder="1" applyAlignment="1"/>
    <xf numFmtId="0" fontId="4" fillId="8" borderId="4" xfId="0" applyFont="1" applyFill="1" applyBorder="1"/>
    <xf numFmtId="167" fontId="68" fillId="0" borderId="4" xfId="0" applyNumberFormat="1" applyFont="1" applyBorder="1" applyAlignment="1"/>
    <xf numFmtId="0" fontId="68" fillId="0" borderId="4" xfId="0" applyFont="1" applyBorder="1" applyAlignment="1">
      <alignment horizontal="left"/>
    </xf>
    <xf numFmtId="0" fontId="4" fillId="8" borderId="0" xfId="0" applyFont="1" applyFill="1"/>
    <xf numFmtId="0" fontId="4" fillId="27" borderId="4" xfId="0" applyFont="1" applyFill="1" applyBorder="1" applyAlignment="1"/>
    <xf numFmtId="0" fontId="4" fillId="27" borderId="4" xfId="0" applyFont="1" applyFill="1" applyBorder="1"/>
    <xf numFmtId="0" fontId="4" fillId="6" borderId="4" xfId="0" applyFont="1" applyFill="1" applyBorder="1" applyAlignment="1">
      <alignment horizontal="left"/>
    </xf>
    <xf numFmtId="0" fontId="69" fillId="6" borderId="4" xfId="0" applyFont="1" applyFill="1" applyBorder="1" applyAlignment="1">
      <alignment horizontal="left" vertical="center"/>
    </xf>
    <xf numFmtId="0" fontId="70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8" borderId="0" xfId="0" applyFont="1" applyFill="1" applyAlignment="1">
      <alignment horizontal="center" wrapText="1"/>
    </xf>
    <xf numFmtId="0" fontId="18" fillId="13" borderId="21" xfId="0" applyFont="1" applyFill="1" applyBorder="1" applyAlignment="1">
      <alignment horizontal="center" vertical="center" textRotation="45" wrapText="1"/>
    </xf>
    <xf numFmtId="0" fontId="4" fillId="0" borderId="21" xfId="0" applyFont="1" applyBorder="1"/>
    <xf numFmtId="0" fontId="4" fillId="0" borderId="26" xfId="0" applyFont="1" applyBorder="1"/>
    <xf numFmtId="0" fontId="18" fillId="2" borderId="33" xfId="0" applyFont="1" applyFill="1" applyBorder="1" applyAlignment="1">
      <alignment horizontal="center" vertical="center" textRotation="45" wrapText="1"/>
    </xf>
    <xf numFmtId="0" fontId="4" fillId="0" borderId="33" xfId="0" applyFont="1" applyBorder="1"/>
    <xf numFmtId="0" fontId="4" fillId="0" borderId="37" xfId="0" applyFont="1" applyBorder="1"/>
    <xf numFmtId="0" fontId="13" fillId="5" borderId="14" xfId="0" applyFont="1" applyFill="1" applyBorder="1" applyAlignment="1">
      <alignment horizontal="center" vertical="center" textRotation="45" wrapText="1"/>
    </xf>
    <xf numFmtId="0" fontId="23" fillId="17" borderId="40" xfId="0" applyFont="1" applyFill="1" applyBorder="1" applyAlignment="1">
      <alignment horizontal="center" wrapText="1"/>
    </xf>
    <xf numFmtId="0" fontId="4" fillId="0" borderId="24" xfId="0" applyFont="1" applyBorder="1"/>
    <xf numFmtId="0" fontId="9" fillId="10" borderId="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7" xfId="0" applyFont="1" applyBorder="1"/>
    <xf numFmtId="0" fontId="18" fillId="14" borderId="14" xfId="0" applyFont="1" applyFill="1" applyBorder="1" applyAlignment="1">
      <alignment horizontal="center" vertical="center" textRotation="45" wrapText="1"/>
    </xf>
    <xf numFmtId="0" fontId="18" fillId="16" borderId="14" xfId="0" applyFont="1" applyFill="1" applyBorder="1" applyAlignment="1">
      <alignment horizontal="center" vertical="center" textRotation="45" wrapText="1"/>
    </xf>
    <xf numFmtId="0" fontId="20" fillId="5" borderId="14" xfId="0" applyFont="1" applyFill="1" applyBorder="1" applyAlignment="1">
      <alignment horizontal="center" vertical="center" textRotation="45" wrapText="1"/>
    </xf>
    <xf numFmtId="0" fontId="30" fillId="0" borderId="5" xfId="0" applyFont="1" applyBorder="1" applyAlignment="1">
      <alignment horizontal="center" vertical="center"/>
    </xf>
    <xf numFmtId="0" fontId="4" fillId="0" borderId="25" xfId="0" applyFont="1" applyBorder="1" applyAlignment="1"/>
    <xf numFmtId="0" fontId="4" fillId="0" borderId="19" xfId="0" applyFont="1" applyBorder="1"/>
    <xf numFmtId="0" fontId="25" fillId="0" borderId="25" xfId="0" applyFont="1" applyBorder="1" applyAlignment="1">
      <alignment horizontal="left" vertical="center"/>
    </xf>
    <xf numFmtId="0" fontId="53" fillId="24" borderId="25" xfId="0" applyFont="1" applyFill="1" applyBorder="1" applyAlignment="1">
      <alignment horizontal="left" vertical="center"/>
    </xf>
    <xf numFmtId="0" fontId="4" fillId="0" borderId="9" xfId="0" applyFont="1" applyBorder="1"/>
    <xf numFmtId="0" fontId="25" fillId="17" borderId="25" xfId="0" applyFont="1" applyFill="1" applyBorder="1" applyAlignment="1">
      <alignment horizontal="center" vertical="center"/>
    </xf>
    <xf numFmtId="0" fontId="25" fillId="20" borderId="25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8" borderId="25" xfId="0" applyFont="1" applyFill="1" applyBorder="1" applyAlignment="1">
      <alignment horizontal="center" vertical="center"/>
    </xf>
    <xf numFmtId="0" fontId="25" fillId="21" borderId="25" xfId="0" applyFont="1" applyFill="1" applyBorder="1" applyAlignment="1">
      <alignment horizontal="center" vertical="center"/>
    </xf>
    <xf numFmtId="0" fontId="25" fillId="26" borderId="25" xfId="0" applyFont="1" applyFill="1" applyBorder="1" applyAlignment="1">
      <alignment horizontal="center" vertical="center"/>
    </xf>
    <xf numFmtId="0" fontId="50" fillId="0" borderId="40" xfId="0" applyFont="1" applyBorder="1" applyAlignment="1">
      <alignment horizontal="center" vertical="center" wrapText="1"/>
    </xf>
    <xf numFmtId="0" fontId="4" fillId="0" borderId="50" xfId="0" applyFont="1" applyBorder="1"/>
    <xf numFmtId="0" fontId="4" fillId="0" borderId="31" xfId="0" applyFont="1" applyBorder="1"/>
    <xf numFmtId="0" fontId="4" fillId="0" borderId="2" xfId="0" applyFont="1" applyBorder="1"/>
    <xf numFmtId="0" fontId="4" fillId="0" borderId="17" xfId="0" applyFont="1" applyBorder="1"/>
    <xf numFmtId="0" fontId="4" fillId="0" borderId="1" xfId="0" applyFont="1" applyBorder="1"/>
    <xf numFmtId="0" fontId="4" fillId="0" borderId="3" xfId="0" applyFont="1" applyBorder="1"/>
    <xf numFmtId="0" fontId="34" fillId="0" borderId="5" xfId="0" applyFont="1" applyBorder="1" applyAlignment="1"/>
  </cellXfs>
  <cellStyles count="1">
    <cellStyle name="Normal" xfId="0" builtinId="0"/>
  </cellStyles>
  <dxfs count="61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3F3F3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EFEFE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E69138"/>
      </font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3F3F3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EFEFE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E69138"/>
      </font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fournisseurs-style" pivot="0" count="3">
      <tableStyleElement type="headerRow" dxfId="60"/>
      <tableStyleElement type="firstRowStripe" dxfId="59"/>
      <tableStyleElement type="secondRowStripe" dxfId="58"/>
    </tableStyle>
    <tableStyle name="fournisseurs-style 2" pivot="0" count="2"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Bilan'!$D$79:$D$86</c:f>
              <c:strCache>
                <c:ptCount val="8"/>
                <c:pt idx="0">
                  <c:v>En préparation</c:v>
                </c:pt>
                <c:pt idx="1">
                  <c:v>Devis déposé</c:v>
                </c:pt>
                <c:pt idx="2">
                  <c:v>Devis vérifié</c:v>
                </c:pt>
                <c:pt idx="3">
                  <c:v>Devis accepté</c:v>
                </c:pt>
                <c:pt idx="4">
                  <c:v>Commandé</c:v>
                </c:pt>
                <c:pt idx="5">
                  <c:v>Livré</c:v>
                </c:pt>
                <c:pt idx="6">
                  <c:v>BDL reçu</c:v>
                </c:pt>
                <c:pt idx="7">
                  <c:v>Problème commande</c:v>
                </c:pt>
              </c:strCache>
            </c:strRef>
          </c:cat>
          <c:val>
            <c:numRef>
              <c:f>'Feuille Bilan'!$E$79:$E$86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EFC-4B07-8AB4-4B9ADA7C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139823"/>
        <c:axId val="1009856472"/>
        <c:axId val="0"/>
      </c:bar3DChart>
      <c:catAx>
        <c:axId val="6261398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1009856472"/>
        <c:crosses val="autoZero"/>
        <c:auto val="1"/>
        <c:lblAlgn val="ctr"/>
        <c:lblOffset val="100"/>
        <c:noMultiLvlLbl val="1"/>
      </c:catAx>
      <c:valAx>
        <c:axId val="100985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626139823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PE'!$D$79:$D$86</c:f>
              <c:strCache>
                <c:ptCount val="8"/>
                <c:pt idx="0">
                  <c:v>En préparation</c:v>
                </c:pt>
                <c:pt idx="1">
                  <c:v>Devis déposé</c:v>
                </c:pt>
                <c:pt idx="2">
                  <c:v>Devis vérifié</c:v>
                </c:pt>
                <c:pt idx="3">
                  <c:v>Devis accepté</c:v>
                </c:pt>
                <c:pt idx="4">
                  <c:v>Commandé</c:v>
                </c:pt>
                <c:pt idx="5">
                  <c:v>Livré</c:v>
                </c:pt>
                <c:pt idx="6">
                  <c:v>BDL reçu</c:v>
                </c:pt>
                <c:pt idx="7">
                  <c:v>Problème commande</c:v>
                </c:pt>
              </c:strCache>
            </c:strRef>
          </c:cat>
          <c:val>
            <c:numRef>
              <c:f>'Feuille PE'!$E$79:$E$86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C09-488F-BFA0-9761BBDE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4783379"/>
        <c:axId val="1707974833"/>
        <c:axId val="0"/>
      </c:bar3DChart>
      <c:catAx>
        <c:axId val="166478337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1707974833"/>
        <c:crosses val="autoZero"/>
        <c:auto val="1"/>
        <c:lblAlgn val="ctr"/>
        <c:lblOffset val="100"/>
        <c:noMultiLvlLbl val="1"/>
      </c:catAx>
      <c:valAx>
        <c:axId val="170797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166478337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200025</xdr:colOff>
      <xdr:row>81</xdr:row>
      <xdr:rowOff>152400</xdr:rowOff>
    </xdr:from>
    <xdr:ext cx="4524375" cy="2790825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78</xdr:row>
      <xdr:rowOff>9525</xdr:rowOff>
    </xdr:from>
    <xdr:ext cx="4524375" cy="2790825"/>
    <xdr:graphicFrame macro=""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2:K79">
  <tableColumns count="3">
    <tableColumn id="1" name="demande de devis du dernier véhicule"/>
    <tableColumn id="2" name="délais d'appro (semaines)     devis &gt; livraison"/>
    <tableColumn id="3" name="réduction possible"/>
  </tableColumns>
  <tableStyleInfo name="fournisseur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3:C79" headerRowCount="0">
  <tableColumns count="2">
    <tableColumn id="1" name="Column1"/>
    <tableColumn id="2" name="Column2"/>
  </tableColumns>
  <tableStyleInfo name="fournisseurs-style 2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fixation.emile-maurin.fr/fr/ecrou-bas-hexagonal-hm-inox-a2-din-439-62603" TargetMode="External"/><Relationship Id="rId2" Type="http://schemas.openxmlformats.org/officeDocument/2006/relationships/hyperlink" Target="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" TargetMode="External"/><Relationship Id="rId1" Type="http://schemas.openxmlformats.org/officeDocument/2006/relationships/hyperlink" Target="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" TargetMode="External"/><Relationship Id="rId4" Type="http://schemas.openxmlformats.org/officeDocument/2006/relationships/hyperlink" Target="https://fixation.emile-maurin.fr/fr/ecrou-bas-hexagonal-pas-gauche-inox-a2-din-439-6264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shop.hpceurope.com/fr/produit.asp?prid=3805" TargetMode="External"/><Relationship Id="rId1" Type="http://schemas.openxmlformats.org/officeDocument/2006/relationships/hyperlink" Target="https://shop.hpceurope.com/fr/produit.asp?prid=253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vperformance.com/media/fsae/FSAE_Brochure.pdf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ca-store.com/durite-goodridge-serie-400-dash-6-pour-circuit-d-essence.html" TargetMode="External"/><Relationship Id="rId13" Type="http://schemas.openxmlformats.org/officeDocument/2006/relationships/hyperlink" Target="https://www.oreca-store.com/ventilateur-spal-aspirant-o-255-mm-puissance-1-360-m3-h.html" TargetMode="External"/><Relationship Id="rId18" Type="http://schemas.openxmlformats.org/officeDocument/2006/relationships/hyperlink" Target="https://www.oreca-store.com/durite-silicone-redspec-1m-droite.html" TargetMode="External"/><Relationship Id="rId3" Type="http://schemas.openxmlformats.org/officeDocument/2006/relationships/hyperlink" Target="https://www.gt2i.com/fr/bouchon-a-souder-circuit-refroidissement/28972-Bouchon-et-Goulotte-Wilwood-Diametre-381mm-Longueur-50mm.html" TargetMode="External"/><Relationship Id="rId21" Type="http://schemas.openxmlformats.org/officeDocument/2006/relationships/hyperlink" Target="https://www.oreca-store.com/harnais-fia-sparco-04818ral.html" TargetMode="External"/><Relationship Id="rId7" Type="http://schemas.openxmlformats.org/officeDocument/2006/relationships/hyperlink" Target="https://www.oreca-store.com/bouchon-femelle-goodridge-jic-aluminium.html" TargetMode="External"/><Relationship Id="rId12" Type="http://schemas.openxmlformats.org/officeDocument/2006/relationships/hyperlink" Target="https://www.oreca-store.com/bouchon-radiateur-stant-a-levier-tarage-1-33-1-47-bars.html" TargetMode="External"/><Relationship Id="rId17" Type="http://schemas.openxmlformats.org/officeDocument/2006/relationships/hyperlink" Target="https://www.oreca-store.com/durite-silicone-coudee-a-45-redspec.html" TargetMode="External"/><Relationship Id="rId2" Type="http://schemas.openxmlformats.org/officeDocument/2006/relationships/hyperlink" Target="https://www.gt2i.com/fr/raccord-durite-aviation-serie-200/14408-raccord-femelle-droit-alu-916x18-jic.html" TargetMode="External"/><Relationship Id="rId16" Type="http://schemas.openxmlformats.org/officeDocument/2006/relationships/hyperlink" Target="https://www.oreca-store.com/durite-silicone-redspec-1m-droite.html" TargetMode="External"/><Relationship Id="rId20" Type="http://schemas.openxmlformats.org/officeDocument/2006/relationships/hyperlink" Target="https://www.oreca-store.com/liquide-de-freins-motul-rbf-660-dot-4-non-miscible.html" TargetMode="External"/><Relationship Id="rId1" Type="http://schemas.openxmlformats.org/officeDocument/2006/relationships/hyperlink" Target="https://www.gt2i.com/fr/pompe-a-essence-electrique/49065-pompe-a-essence-walbro-r5-gt-turbo.html" TargetMode="External"/><Relationship Id="rId6" Type="http://schemas.openxmlformats.org/officeDocument/2006/relationships/hyperlink" Target="https://www.oreca-store.com/adaptateur-male-oreca-jic-a-souder-aluminium.html" TargetMode="External"/><Relationship Id="rId11" Type="http://schemas.openxmlformats.org/officeDocument/2006/relationships/hyperlink" Target="https://www.oreca-store.com/goulotte-aluminium-redspec-a-souder-avec-trop-plein.html" TargetMode="External"/><Relationship Id="rId5" Type="http://schemas.openxmlformats.org/officeDocument/2006/relationships/hyperlink" Target="https://www.oreca-store.com/clapet-de-mise-a-l-air-fixation-reservoir-newton-9-16x18unf-dh6.html" TargetMode="External"/><Relationship Id="rId15" Type="http://schemas.openxmlformats.org/officeDocument/2006/relationships/hyperlink" Target="https://www.oreca-store.com/raccord-femelle-droit-jic-536-01-goodridge-pour-durite-536.html" TargetMode="External"/><Relationship Id="rId10" Type="http://schemas.openxmlformats.org/officeDocument/2006/relationships/hyperlink" Target="https://www.oreca-store.com/scotch-protection-thermique-dei-a-gold-rouleau-1-5-x-15.html" TargetMode="External"/><Relationship Id="rId19" Type="http://schemas.openxmlformats.org/officeDocument/2006/relationships/hyperlink" Target="https://www.oreca-store.com/fixations-revotec-pour-ventilateur.html" TargetMode="External"/><Relationship Id="rId4" Type="http://schemas.openxmlformats.org/officeDocument/2006/relationships/hyperlink" Target="https://www.oreca-store.com/regulateur-de-pression-d-essence-9-16-unf-special-gros-debit.html" TargetMode="External"/><Relationship Id="rId9" Type="http://schemas.openxmlformats.org/officeDocument/2006/relationships/hyperlink" Target="https://www.oreca-store.com/scotch-protection-thermique-dei-a-gold-rouleau-1-5-x-15.html" TargetMode="External"/><Relationship Id="rId14" Type="http://schemas.openxmlformats.org/officeDocument/2006/relationships/hyperlink" Target="https://www.oreca-store.com/adaptateur-male-oreca-jic-a-souder-aluminium.html" TargetMode="External"/><Relationship Id="rId22" Type="http://schemas.openxmlformats.org/officeDocument/2006/relationships/hyperlink" Target="https://www.oreca-store.com/goujons-de-roue-haute-qualite-redspec-en-acier-vendus-par-4.html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ca-store.com/regulateur-de-pression-d-essence-9-16-unf-special-gros-debit.html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resines-et-colles-epoxy/7839732/?relevancy-data=636F3D3126696E3D4931384E4C446573635461786F6E6F6D794272616E645365617263685465726D325F74656D70266C753D6672266D6D3D6D617463687061727469616C6D617826706D3D5E5B5C707B4C7D5C707B4E647D3F5C707B5A737D2D2C2F255C2E5D2B2426706F3D31313326736E3D592673723D2673743D4B4559574F52445F4D554C54495F414C5048415F414E445F4D554C54495F414C5048415F4E554D455249432673633D592677633D4E4F4E45267573743D636F6C6C6520C3A9706F78792073747275637572656C6C65204450343930267374613D636F6C6C6520C3A9706F78792073747275637572656C6C6520445034393026&amp;searchHistory=%7B%22enabled%22%3Atrue%7D" TargetMode="External"/><Relationship Id="rId2" Type="http://schemas.openxmlformats.org/officeDocument/2006/relationships/hyperlink" Target="https://fr.rs-online.com/web/p/ressorts-de-traction/0751821/" TargetMode="External"/><Relationship Id="rId1" Type="http://schemas.openxmlformats.org/officeDocument/2006/relationships/hyperlink" Target="https://fr.rs-online.com/web/p/resines-et-colles-epoxy/7839732/?relevancy-data=636F3D3126696E3D4931384E4C446573635461786F6E6F6D794272616E645365617263685465726D325F74656D70266C753D6672266D6D3D6D617463687061727469616C6D617826706D3D5E5B5C707B4C7D5C707B4E647D3F5C707B5A737D2D2C2F255C2E5D2B2426706F3D31313326736E3D592673723D2673743D4B4559574F52445F4D554C54495F414C5048415F414E445F4D554C54495F414C5048415F4E554D455249432673633D592677633D4E4F4E45267573743D636F6C6C6520C3A9706F78792073747275637572656C6C65204450343930267374613D636F6C6C6520C3A9706F78792073747275637572656C6C6520445034393026&amp;searchHistory=%7B%22enabled%22%3Atrue%7D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kf.com/fr/products/bearings-units-housings/ball-bearings/deep-groove-ball-bearings/deep-groove-ball-bearings/index.html?designation=6011%20M" TargetMode="External"/><Relationship Id="rId2" Type="http://schemas.openxmlformats.org/officeDocument/2006/relationships/hyperlink" Target="http://www.skf.com/fr/products/bearings-units-housings/plain-bearings/general/radial-spherical-plain/index.html?designation=GE%2012%20C&amp;unit=metricUnit" TargetMode="External"/><Relationship Id="rId1" Type="http://schemas.openxmlformats.org/officeDocument/2006/relationships/hyperlink" Target="http://www.skf.com/fr/products/bearings-units-housings/plain-bearings/bushings-thrust-washers-strips/bushings/table-bushings/index.html?designation=PCMF%20060808%20E&amp;unit=metricUnit" TargetMode="External"/><Relationship Id="rId6" Type="http://schemas.openxmlformats.org/officeDocument/2006/relationships/hyperlink" Target="http://www.skf.com/fr/products/bearings-units-housings/plain-bearings/bushings-thrust-washers-strips/table-bushings/index.html?designation=PSMF%20061006%20A51" TargetMode="External"/><Relationship Id="rId5" Type="http://schemas.openxmlformats.org/officeDocument/2006/relationships/hyperlink" Target="http://www.skf.com/fr/products/lubrication-solutions/lubricants/high-load-high-temperature-high-viscosity-grease/index.html" TargetMode="External"/><Relationship Id="rId4" Type="http://schemas.openxmlformats.org/officeDocument/2006/relationships/hyperlink" Target="http://www.skf.com/fr/products/bearings-units-housings/ball-bearings/deep-groove-ball-bearings/deep-groove-ball-bearings/index.html?designation=601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usmotos.com/fr/produit/injecteur-honda-cbr-rr-600-1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ftermarket.beringer-brakes.com/fr/disques-lightec-quad/436-disque-frein-droit-pour-quad-piste-inox-p2ddi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essagerie.ec-lyon.fr/service/home/~/?auth=co&amp;loc=fr_FR&amp;id=7851&amp;part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3"/>
  <sheetViews>
    <sheetView showGridLines="0" workbookViewId="0">
      <selection sqref="A1:B1"/>
    </sheetView>
  </sheetViews>
  <sheetFormatPr baseColWidth="10" defaultColWidth="14.44140625" defaultRowHeight="15.75" customHeight="1"/>
  <cols>
    <col min="1" max="1" width="33" customWidth="1"/>
    <col min="2" max="2" width="79.6640625" customWidth="1"/>
    <col min="3" max="3" width="37.109375" customWidth="1"/>
    <col min="4" max="4" width="44" customWidth="1"/>
  </cols>
  <sheetData>
    <row r="1" spans="1:23" ht="15.75" customHeight="1">
      <c r="A1" s="428" t="s">
        <v>0</v>
      </c>
      <c r="B1" s="425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"/>
    </row>
    <row r="2" spans="1:23" ht="15.75" customHeight="1">
      <c r="A2" s="426" t="s">
        <v>1</v>
      </c>
      <c r="B2" s="425"/>
      <c r="C2" s="3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427" t="s">
        <v>2</v>
      </c>
      <c r="B3" s="425"/>
      <c r="C3" s="8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426" t="s">
        <v>16</v>
      </c>
      <c r="B4" s="425"/>
      <c r="C4" s="4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427" t="s">
        <v>18</v>
      </c>
      <c r="B5" s="425"/>
      <c r="C5" s="4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429" t="s">
        <v>20</v>
      </c>
      <c r="B6" s="42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18" t="s">
        <v>22</v>
      </c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20" t="s">
        <v>25</v>
      </c>
      <c r="B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426" t="s">
        <v>26</v>
      </c>
      <c r="B9" s="42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424" t="s">
        <v>27</v>
      </c>
      <c r="B10" s="42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424" t="s">
        <v>30</v>
      </c>
      <c r="B11" s="42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424" t="s">
        <v>33</v>
      </c>
      <c r="B12" s="42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424" t="s">
        <v>34</v>
      </c>
      <c r="B13" s="4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424" t="s">
        <v>35</v>
      </c>
      <c r="B14" s="42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424" t="s">
        <v>36</v>
      </c>
      <c r="B15" s="42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424" t="s">
        <v>37</v>
      </c>
      <c r="B16" s="42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426" t="s">
        <v>38</v>
      </c>
      <c r="B17" s="42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25">
        <v>1</v>
      </c>
      <c r="B18" s="26" t="s">
        <v>44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25">
        <v>2</v>
      </c>
      <c r="B19" s="26" t="s">
        <v>46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25">
        <v>3</v>
      </c>
      <c r="B20" s="26" t="s">
        <v>47</v>
      </c>
      <c r="C20" s="26" t="s">
        <v>48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2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25"/>
      <c r="B22" s="26" t="s">
        <v>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27">
        <v>4</v>
      </c>
      <c r="B23" s="8" t="s">
        <v>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2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3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3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3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:23" ht="13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 spans="1:23" ht="13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:23" ht="13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 spans="1:23" ht="13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:23" ht="13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 spans="1:23" ht="13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:23" ht="13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 spans="1:23" ht="13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 ht="13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 ht="13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</sheetData>
  <mergeCells count="15">
    <mergeCell ref="A2:B2"/>
    <mergeCell ref="A3:B3"/>
    <mergeCell ref="A1:B1"/>
    <mergeCell ref="A6:B6"/>
    <mergeCell ref="A10:B10"/>
    <mergeCell ref="A17:B17"/>
    <mergeCell ref="A14:B14"/>
    <mergeCell ref="A9:B9"/>
    <mergeCell ref="A4:B4"/>
    <mergeCell ref="A5:B5"/>
    <mergeCell ref="A13:B13"/>
    <mergeCell ref="A11:B11"/>
    <mergeCell ref="A12:B12"/>
    <mergeCell ref="A16:B16"/>
    <mergeCell ref="A15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72" t="s">
        <v>462</v>
      </c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72" t="s">
        <v>462</v>
      </c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72" t="s">
        <v>462</v>
      </c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tabSelected="1" workbookViewId="0"/>
  </sheetViews>
  <sheetFormatPr baseColWidth="10" defaultColWidth="14.44140625" defaultRowHeight="15.75" customHeight="1"/>
  <cols>
    <col min="2" max="2" width="41.44140625" customWidth="1"/>
    <col min="6" max="6" width="15.6640625" customWidth="1"/>
    <col min="9" max="9" width="45.88671875" customWidth="1"/>
  </cols>
  <sheetData>
    <row r="1" spans="1:16" ht="15.75" customHeight="1">
      <c r="A1" s="275" t="s">
        <v>195</v>
      </c>
      <c r="B1" s="275" t="s">
        <v>426</v>
      </c>
      <c r="C1" s="275" t="s">
        <v>427</v>
      </c>
      <c r="D1" s="275" t="s">
        <v>428</v>
      </c>
      <c r="E1" s="275" t="s">
        <v>429</v>
      </c>
      <c r="F1" s="275" t="s">
        <v>430</v>
      </c>
      <c r="G1" s="275" t="s">
        <v>463</v>
      </c>
      <c r="H1" s="275" t="s">
        <v>433</v>
      </c>
      <c r="I1" s="275" t="s">
        <v>434</v>
      </c>
      <c r="J1" s="275" t="s">
        <v>435</v>
      </c>
      <c r="K1" s="276"/>
      <c r="L1" s="276"/>
      <c r="M1" s="276"/>
      <c r="N1" s="276"/>
      <c r="O1" s="276"/>
      <c r="P1" s="276"/>
    </row>
    <row r="2" spans="1:16" ht="15.75" customHeight="1">
      <c r="A2" s="248" t="s">
        <v>436</v>
      </c>
      <c r="B2" s="248" t="s">
        <v>464</v>
      </c>
      <c r="C2" s="92" t="s">
        <v>465</v>
      </c>
      <c r="D2" s="277">
        <v>4</v>
      </c>
      <c r="E2" s="277">
        <v>4</v>
      </c>
      <c r="F2" s="277">
        <v>2.46</v>
      </c>
      <c r="G2" s="277">
        <f>8*F2</f>
        <v>19.68</v>
      </c>
      <c r="H2" s="248" t="s">
        <v>221</v>
      </c>
      <c r="I2" s="248" t="s">
        <v>466</v>
      </c>
      <c r="J2" s="445" t="s">
        <v>467</v>
      </c>
      <c r="K2" s="440"/>
      <c r="L2" s="440"/>
      <c r="M2" s="440"/>
      <c r="N2" s="440"/>
      <c r="O2" s="440"/>
      <c r="P2" s="441"/>
    </row>
    <row r="3" spans="1:16" ht="15.75" customHeight="1">
      <c r="A3" s="92" t="s">
        <v>436</v>
      </c>
      <c r="B3" s="92" t="s">
        <v>468</v>
      </c>
      <c r="C3" s="92" t="s">
        <v>469</v>
      </c>
      <c r="D3" s="92">
        <v>2</v>
      </c>
      <c r="E3" s="92">
        <v>2</v>
      </c>
      <c r="F3" s="92">
        <v>2.4</v>
      </c>
      <c r="G3" s="258">
        <f>4*F3</f>
        <v>9.6</v>
      </c>
      <c r="H3" s="278" t="s">
        <v>247</v>
      </c>
      <c r="I3" s="92" t="s">
        <v>470</v>
      </c>
      <c r="J3" s="279" t="s">
        <v>467</v>
      </c>
      <c r="K3" s="258"/>
      <c r="L3" s="258"/>
      <c r="M3" s="258"/>
      <c r="N3" s="258"/>
      <c r="O3" s="258"/>
      <c r="P3" s="258"/>
    </row>
    <row r="4" spans="1:16" ht="15.75" customHeight="1">
      <c r="A4" s="202"/>
      <c r="B4" s="202"/>
      <c r="C4" s="202"/>
      <c r="D4" s="202"/>
      <c r="F4" s="252" t="s">
        <v>471</v>
      </c>
      <c r="G4" s="92">
        <f>G2+G3</f>
        <v>29.28</v>
      </c>
      <c r="J4" s="202"/>
    </row>
    <row r="5" spans="1:16" ht="15.75" customHeight="1">
      <c r="A5" s="202"/>
      <c r="B5" s="202"/>
      <c r="C5" s="202"/>
      <c r="D5" s="202"/>
      <c r="F5" s="252" t="s">
        <v>472</v>
      </c>
      <c r="G5" s="92">
        <v>35.14</v>
      </c>
      <c r="J5" s="202"/>
    </row>
    <row r="6" spans="1:16" ht="15.75" customHeight="1">
      <c r="A6" s="202"/>
      <c r="B6" s="202"/>
      <c r="C6" s="202"/>
      <c r="D6" s="202"/>
      <c r="J6" s="202"/>
    </row>
    <row r="7" spans="1:16" ht="15.75" customHeight="1">
      <c r="A7" s="280" t="s">
        <v>473</v>
      </c>
      <c r="B7" s="202"/>
      <c r="C7" s="202"/>
      <c r="D7" s="202"/>
      <c r="F7" s="281" t="s">
        <v>474</v>
      </c>
      <c r="J7" s="202"/>
    </row>
    <row r="8" spans="1:16" ht="15.75" customHeight="1">
      <c r="A8" s="92" t="s">
        <v>436</v>
      </c>
      <c r="B8" s="92" t="s">
        <v>475</v>
      </c>
      <c r="C8" s="92">
        <v>626038</v>
      </c>
      <c r="D8" s="92">
        <v>200</v>
      </c>
      <c r="E8" s="258"/>
      <c r="F8" s="92">
        <v>1.89</v>
      </c>
      <c r="G8" s="258">
        <f>F8*2</f>
        <v>3.78</v>
      </c>
      <c r="H8" s="92" t="s">
        <v>214</v>
      </c>
      <c r="J8" s="282" t="s">
        <v>476</v>
      </c>
    </row>
    <row r="9" spans="1:16" ht="15.75" customHeight="1">
      <c r="A9" s="92" t="s">
        <v>436</v>
      </c>
      <c r="B9" s="92" t="s">
        <v>477</v>
      </c>
      <c r="C9" s="92">
        <v>626036</v>
      </c>
      <c r="D9" s="92">
        <v>1000</v>
      </c>
      <c r="E9" s="258"/>
      <c r="F9" s="92">
        <v>1.02</v>
      </c>
      <c r="G9" s="258">
        <f>F9*10</f>
        <v>10.199999999999999</v>
      </c>
      <c r="H9" s="92" t="s">
        <v>214</v>
      </c>
    </row>
    <row r="10" spans="1:16" ht="15.75" customHeight="1">
      <c r="A10" s="92" t="s">
        <v>436</v>
      </c>
      <c r="B10" s="92" t="s">
        <v>478</v>
      </c>
      <c r="C10" s="92">
        <v>626408</v>
      </c>
      <c r="D10" s="92">
        <v>100</v>
      </c>
      <c r="E10" s="258"/>
      <c r="F10" s="92">
        <v>6.2</v>
      </c>
      <c r="G10" s="258">
        <f t="shared" ref="G10:G11" si="0">F10</f>
        <v>6.2</v>
      </c>
      <c r="H10" s="92" t="s">
        <v>214</v>
      </c>
      <c r="J10" s="282" t="s">
        <v>479</v>
      </c>
    </row>
    <row r="11" spans="1:16" ht="15.75" customHeight="1">
      <c r="A11" s="92" t="s">
        <v>436</v>
      </c>
      <c r="B11" s="92" t="s">
        <v>480</v>
      </c>
      <c r="C11" s="92">
        <v>626406</v>
      </c>
      <c r="D11" s="92">
        <v>100</v>
      </c>
      <c r="E11" s="258"/>
      <c r="F11" s="92">
        <v>3.89</v>
      </c>
      <c r="G11" s="258">
        <f t="shared" si="0"/>
        <v>3.89</v>
      </c>
      <c r="H11" s="92" t="s">
        <v>214</v>
      </c>
    </row>
    <row r="12" spans="1:16" ht="15.75" customHeight="1">
      <c r="C12" s="252" t="s">
        <v>481</v>
      </c>
      <c r="D12" s="92">
        <v>18</v>
      </c>
      <c r="E12" s="258"/>
      <c r="F12" s="252" t="s">
        <v>471</v>
      </c>
      <c r="G12" s="258">
        <f>SUM(G8:G11)+D12</f>
        <v>42.07</v>
      </c>
    </row>
    <row r="13" spans="1:16" ht="15.75" customHeight="1">
      <c r="F13" s="252" t="s">
        <v>472</v>
      </c>
      <c r="G13" s="283">
        <f>G12*1.2</f>
        <v>50.484000000000002</v>
      </c>
    </row>
    <row r="15" spans="1:16" ht="15.75" customHeight="1">
      <c r="B15" s="284" t="s">
        <v>482</v>
      </c>
      <c r="C15" s="284" t="s">
        <v>483</v>
      </c>
    </row>
    <row r="16" spans="1:16" ht="15.75" customHeight="1">
      <c r="B16" s="284" t="s">
        <v>484</v>
      </c>
      <c r="C16" s="284" t="s">
        <v>483</v>
      </c>
    </row>
    <row r="17" spans="2:3" ht="15.75" customHeight="1">
      <c r="B17" s="284" t="s">
        <v>485</v>
      </c>
      <c r="C17" s="284" t="s">
        <v>486</v>
      </c>
    </row>
  </sheetData>
  <mergeCells count="1">
    <mergeCell ref="J2:P2"/>
  </mergeCells>
  <hyperlinks>
    <hyperlink ref="J2" r:id="rId1"/>
    <hyperlink ref="J3" r:id="rId2"/>
    <hyperlink ref="J8" r:id="rId3"/>
    <hyperlink ref="J10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487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72" t="s">
        <v>487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72" t="s">
        <v>487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72" t="s">
        <v>487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446" t="s">
        <v>457</v>
      </c>
      <c r="B2" s="272" t="s">
        <v>488</v>
      </c>
      <c r="C2" s="272" t="s">
        <v>489</v>
      </c>
      <c r="D2" s="272">
        <v>1</v>
      </c>
      <c r="E2" s="272">
        <v>0</v>
      </c>
      <c r="F2" s="249">
        <f>75.23/1.2</f>
        <v>62.69166666666667</v>
      </c>
      <c r="G2" s="272">
        <v>75.23</v>
      </c>
      <c r="H2" s="272">
        <v>63.95</v>
      </c>
      <c r="I2" s="272" t="s">
        <v>266</v>
      </c>
      <c r="J2" s="285" t="s">
        <v>490</v>
      </c>
      <c r="K2" s="249"/>
    </row>
    <row r="3" spans="1:11" ht="15.75" customHeight="1">
      <c r="A3" s="447"/>
      <c r="B3" s="272" t="s">
        <v>491</v>
      </c>
      <c r="C3" s="272" t="s">
        <v>492</v>
      </c>
      <c r="D3" s="272">
        <v>1</v>
      </c>
      <c r="E3" s="272">
        <v>0</v>
      </c>
      <c r="F3" s="249">
        <f>5.48/1.2</f>
        <v>4.5666666666666673</v>
      </c>
      <c r="G3" s="272">
        <v>5.48</v>
      </c>
      <c r="H3" s="272">
        <v>4.66</v>
      </c>
      <c r="I3" s="272" t="s">
        <v>266</v>
      </c>
      <c r="J3" s="285" t="s">
        <v>493</v>
      </c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mergeCells count="1">
    <mergeCell ref="A2:A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  <col min="9" max="9" width="12.8867187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8" t="s">
        <v>436</v>
      </c>
      <c r="B2" s="248" t="s">
        <v>494</v>
      </c>
      <c r="C2" s="92" t="s">
        <v>495</v>
      </c>
      <c r="D2" s="248">
        <v>1</v>
      </c>
      <c r="E2" s="248">
        <v>0</v>
      </c>
      <c r="F2" s="251">
        <v>31.52</v>
      </c>
      <c r="G2" s="251">
        <f t="shared" ref="G2:G3" si="0">F2*(E2+D2)</f>
        <v>31.52</v>
      </c>
      <c r="H2" s="248"/>
      <c r="I2" s="248" t="s">
        <v>214</v>
      </c>
      <c r="J2" s="248" t="s">
        <v>496</v>
      </c>
      <c r="K2" s="282" t="s">
        <v>497</v>
      </c>
    </row>
    <row r="3" spans="1:11" ht="15.75" customHeight="1">
      <c r="A3" s="248" t="s">
        <v>457</v>
      </c>
      <c r="B3" s="248" t="s">
        <v>498</v>
      </c>
      <c r="C3" s="286" t="s">
        <v>499</v>
      </c>
      <c r="D3" s="248">
        <v>1</v>
      </c>
      <c r="E3" s="248">
        <v>0</v>
      </c>
      <c r="F3" s="251">
        <v>46.86</v>
      </c>
      <c r="G3" s="251">
        <f t="shared" si="0"/>
        <v>46.86</v>
      </c>
      <c r="I3" s="248" t="s">
        <v>266</v>
      </c>
      <c r="J3" s="92"/>
      <c r="K3" s="282" t="s">
        <v>500</v>
      </c>
    </row>
    <row r="4" spans="1:11" ht="15.75" customHeight="1">
      <c r="A4" s="249"/>
      <c r="B4" s="249"/>
      <c r="C4" s="249"/>
      <c r="D4" s="249"/>
      <c r="E4" s="249"/>
      <c r="F4" s="264" t="s">
        <v>501</v>
      </c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87" t="s">
        <v>457</v>
      </c>
      <c r="B6" s="255" t="s">
        <v>502</v>
      </c>
      <c r="C6" s="288" t="s">
        <v>503</v>
      </c>
      <c r="D6" s="255">
        <v>1</v>
      </c>
      <c r="E6" s="255">
        <v>0</v>
      </c>
      <c r="F6" s="270">
        <v>99.52</v>
      </c>
      <c r="G6" s="257">
        <v>99.52</v>
      </c>
      <c r="H6" s="258"/>
      <c r="I6" s="255" t="s">
        <v>266</v>
      </c>
      <c r="J6" s="270" t="s">
        <v>504</v>
      </c>
      <c r="K6" s="249"/>
    </row>
    <row r="7" spans="1:11" ht="15.75" customHeight="1">
      <c r="A7" s="289" t="s">
        <v>457</v>
      </c>
      <c r="B7" s="263" t="s">
        <v>505</v>
      </c>
      <c r="C7" s="290" t="s">
        <v>503</v>
      </c>
      <c r="D7" s="263">
        <v>1</v>
      </c>
      <c r="E7" s="263">
        <v>0</v>
      </c>
      <c r="F7" s="254">
        <v>136.15</v>
      </c>
      <c r="G7" s="261">
        <v>136.15</v>
      </c>
      <c r="H7" s="258"/>
      <c r="I7" s="263" t="s">
        <v>266</v>
      </c>
      <c r="J7" s="254" t="s">
        <v>504</v>
      </c>
      <c r="K7" s="249"/>
    </row>
    <row r="8" spans="1:11" ht="15.75" customHeight="1">
      <c r="A8" s="249"/>
      <c r="B8" s="249"/>
      <c r="C8" s="249"/>
      <c r="D8" s="249"/>
      <c r="E8" s="249"/>
      <c r="F8" s="264" t="s">
        <v>506</v>
      </c>
      <c r="G8" s="291">
        <f>G6+G7</f>
        <v>235.67000000000002</v>
      </c>
      <c r="H8" s="292">
        <f>1.2*G8</f>
        <v>282.80400000000003</v>
      </c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</sheetData>
  <hyperlinks>
    <hyperlink ref="K2" r:id="rId1"/>
    <hyperlink ref="K3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436</v>
      </c>
      <c r="B2" s="272" t="s">
        <v>507</v>
      </c>
      <c r="C2" s="249"/>
      <c r="D2" s="272">
        <v>1</v>
      </c>
      <c r="E2" s="272">
        <v>0</v>
      </c>
      <c r="F2" s="249"/>
      <c r="G2" s="249"/>
      <c r="H2" s="249"/>
      <c r="I2" s="272" t="s">
        <v>219</v>
      </c>
      <c r="J2" s="272" t="s">
        <v>508</v>
      </c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D1087"/>
  <sheetViews>
    <sheetView workbookViewId="0"/>
  </sheetViews>
  <sheetFormatPr baseColWidth="10" defaultColWidth="14.44140625" defaultRowHeight="15.75" customHeight="1"/>
  <cols>
    <col min="2" max="2" width="20.5546875" customWidth="1"/>
    <col min="3" max="3" width="45.33203125" customWidth="1"/>
    <col min="9" max="9" width="18.5546875" customWidth="1"/>
    <col min="10" max="10" width="15.88671875" customWidth="1"/>
    <col min="11" max="11" width="34.88671875" customWidth="1"/>
  </cols>
  <sheetData>
    <row r="1" spans="1:30" ht="15.75" customHeight="1">
      <c r="A1" s="2"/>
      <c r="B1" s="5"/>
      <c r="C1" s="5"/>
      <c r="D1" s="5"/>
      <c r="E1" s="5"/>
      <c r="F1" s="5"/>
      <c r="G1" s="5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7"/>
      <c r="B2" s="9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1" t="s">
        <v>11</v>
      </c>
      <c r="J2" s="12" t="s">
        <v>12</v>
      </c>
      <c r="K2" s="11" t="s">
        <v>13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7"/>
      <c r="B3" s="13" t="s">
        <v>14</v>
      </c>
      <c r="C3" s="13" t="s">
        <v>15</v>
      </c>
      <c r="D3" s="14"/>
      <c r="E3" s="14"/>
      <c r="F3" s="14"/>
      <c r="G3" s="14"/>
      <c r="H3" s="15" t="s">
        <v>17</v>
      </c>
      <c r="I3" s="16" t="s">
        <v>19</v>
      </c>
      <c r="J3" s="16"/>
      <c r="K3" s="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"/>
      <c r="B4" s="17" t="s">
        <v>21</v>
      </c>
      <c r="C4" s="17" t="s">
        <v>23</v>
      </c>
      <c r="D4" s="14"/>
      <c r="E4" s="15" t="s">
        <v>17</v>
      </c>
      <c r="F4" s="14"/>
      <c r="G4" s="15" t="s">
        <v>17</v>
      </c>
      <c r="H4" s="14"/>
      <c r="I4" s="19" t="s">
        <v>24</v>
      </c>
      <c r="J4" s="19">
        <v>6</v>
      </c>
      <c r="K4" s="2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7"/>
      <c r="B5" s="13" t="s">
        <v>28</v>
      </c>
      <c r="C5" s="13" t="s">
        <v>29</v>
      </c>
      <c r="D5" s="15" t="s">
        <v>17</v>
      </c>
      <c r="E5" s="14"/>
      <c r="F5" s="14"/>
      <c r="G5" s="14"/>
      <c r="H5" s="15" t="s">
        <v>17</v>
      </c>
      <c r="I5" s="13"/>
      <c r="J5" s="13"/>
      <c r="K5" s="1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7"/>
      <c r="B6" s="17" t="s">
        <v>31</v>
      </c>
      <c r="C6" s="22" t="s">
        <v>32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23" t="s">
        <v>24</v>
      </c>
      <c r="J6" s="23">
        <v>2</v>
      </c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7"/>
      <c r="B7" s="13" t="s">
        <v>39</v>
      </c>
      <c r="C7" s="24" t="s">
        <v>40</v>
      </c>
      <c r="D7" s="14"/>
      <c r="E7" s="15" t="s">
        <v>17</v>
      </c>
      <c r="F7" s="15" t="s">
        <v>17</v>
      </c>
      <c r="G7" s="15" t="s">
        <v>17</v>
      </c>
      <c r="H7" s="14"/>
      <c r="I7" s="13"/>
      <c r="J7" s="13"/>
      <c r="K7" s="1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7"/>
      <c r="B8" s="17" t="s">
        <v>41</v>
      </c>
      <c r="C8" s="17" t="s">
        <v>42</v>
      </c>
      <c r="D8" s="14"/>
      <c r="E8" s="14"/>
      <c r="F8" s="14"/>
      <c r="G8" s="14"/>
      <c r="H8" s="15" t="s">
        <v>17</v>
      </c>
      <c r="I8" s="23" t="s">
        <v>43</v>
      </c>
      <c r="J8" s="17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7"/>
      <c r="B9" s="13" t="s">
        <v>45</v>
      </c>
      <c r="C9" s="13"/>
      <c r="D9" s="15" t="s">
        <v>17</v>
      </c>
      <c r="E9" s="14"/>
      <c r="F9" s="15" t="s">
        <v>17</v>
      </c>
      <c r="G9" s="14"/>
      <c r="H9" s="14"/>
      <c r="I9" s="13"/>
      <c r="J9" s="13"/>
      <c r="K9" s="1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7"/>
      <c r="B10" s="17" t="s">
        <v>49</v>
      </c>
      <c r="C10" s="22" t="s">
        <v>50</v>
      </c>
      <c r="D10" s="15" t="s">
        <v>17</v>
      </c>
      <c r="E10" s="15" t="s">
        <v>17</v>
      </c>
      <c r="F10" s="15" t="s">
        <v>17</v>
      </c>
      <c r="G10" s="14"/>
      <c r="H10" s="15" t="s">
        <v>17</v>
      </c>
      <c r="I10" s="17"/>
      <c r="J10" s="17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7"/>
      <c r="B11" s="13" t="s">
        <v>53</v>
      </c>
      <c r="C11" s="24" t="s">
        <v>54</v>
      </c>
      <c r="D11" s="15" t="s">
        <v>17</v>
      </c>
      <c r="E11" s="15" t="s">
        <v>17</v>
      </c>
      <c r="F11" s="15" t="s">
        <v>17</v>
      </c>
      <c r="G11" s="14"/>
      <c r="H11" s="14"/>
      <c r="I11" s="13"/>
      <c r="J11" s="13"/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7"/>
      <c r="B12" s="17" t="s">
        <v>55</v>
      </c>
      <c r="C12" s="17"/>
      <c r="D12" s="15" t="s">
        <v>17</v>
      </c>
      <c r="E12" s="14"/>
      <c r="F12" s="14"/>
      <c r="G12" s="14"/>
      <c r="H12" s="14"/>
      <c r="I12" s="17"/>
      <c r="J12" s="17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7"/>
      <c r="B13" s="13" t="s">
        <v>56</v>
      </c>
      <c r="C13" s="13"/>
      <c r="D13" s="14"/>
      <c r="E13" s="15" t="s">
        <v>17</v>
      </c>
      <c r="F13" s="14"/>
      <c r="G13" s="14"/>
      <c r="H13" s="14"/>
      <c r="I13" s="13"/>
      <c r="J13" s="13"/>
      <c r="K13" s="1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7"/>
      <c r="B14" s="17" t="s">
        <v>57</v>
      </c>
      <c r="C14" s="17" t="s">
        <v>58</v>
      </c>
      <c r="D14" s="14"/>
      <c r="E14" s="14"/>
      <c r="F14" s="14"/>
      <c r="G14" s="14"/>
      <c r="H14" s="15" t="s">
        <v>17</v>
      </c>
      <c r="I14" s="17"/>
      <c r="J14" s="17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7"/>
      <c r="B15" s="13" t="s">
        <v>59</v>
      </c>
      <c r="C15" s="13"/>
      <c r="D15" s="15" t="s">
        <v>17</v>
      </c>
      <c r="E15" s="14"/>
      <c r="F15" s="14"/>
      <c r="G15" s="14"/>
      <c r="H15" s="14"/>
      <c r="I15" s="13"/>
      <c r="J15" s="13"/>
      <c r="K15" s="1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7"/>
      <c r="B16" s="17" t="s">
        <v>60</v>
      </c>
      <c r="C16" s="17" t="s">
        <v>61</v>
      </c>
      <c r="D16" s="15" t="s">
        <v>17</v>
      </c>
      <c r="E16" s="15" t="s">
        <v>17</v>
      </c>
      <c r="F16" s="15" t="s">
        <v>17</v>
      </c>
      <c r="G16" s="15" t="s">
        <v>17</v>
      </c>
      <c r="H16" s="15" t="s">
        <v>17</v>
      </c>
      <c r="I16" s="23" t="s">
        <v>62</v>
      </c>
      <c r="J16" s="21"/>
      <c r="K16" s="17" t="s">
        <v>63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7"/>
      <c r="B17" s="13" t="s">
        <v>64</v>
      </c>
      <c r="C17" s="13" t="s">
        <v>65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6" t="s">
        <v>66</v>
      </c>
      <c r="J17" s="16">
        <v>3</v>
      </c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7"/>
      <c r="B18" s="17" t="s">
        <v>67</v>
      </c>
      <c r="C18" s="17" t="s">
        <v>68</v>
      </c>
      <c r="D18" s="14"/>
      <c r="E18" s="14"/>
      <c r="F18" s="15" t="s">
        <v>17</v>
      </c>
      <c r="G18" s="15" t="s">
        <v>17</v>
      </c>
      <c r="H18" s="14"/>
      <c r="I18" s="23" t="s">
        <v>69</v>
      </c>
      <c r="J18" s="17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7"/>
      <c r="B19" s="13" t="s">
        <v>70</v>
      </c>
      <c r="C19" s="24" t="s">
        <v>71</v>
      </c>
      <c r="D19" s="14"/>
      <c r="E19" s="14"/>
      <c r="F19" s="15" t="s">
        <v>17</v>
      </c>
      <c r="G19" s="14"/>
      <c r="H19" s="14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7"/>
      <c r="B20" s="17" t="s">
        <v>72</v>
      </c>
      <c r="C20" s="17" t="s">
        <v>73</v>
      </c>
      <c r="D20" s="15" t="s">
        <v>17</v>
      </c>
      <c r="E20" s="15" t="s">
        <v>17</v>
      </c>
      <c r="F20" s="15" t="s">
        <v>17</v>
      </c>
      <c r="G20" s="14"/>
      <c r="H20" s="15" t="s">
        <v>17</v>
      </c>
      <c r="I20" s="17"/>
      <c r="J20" s="17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7"/>
      <c r="B21" s="13" t="s">
        <v>74</v>
      </c>
      <c r="C21" s="24" t="s">
        <v>75</v>
      </c>
      <c r="D21" s="15" t="s">
        <v>17</v>
      </c>
      <c r="E21" s="15" t="s">
        <v>17</v>
      </c>
      <c r="F21" s="15" t="s">
        <v>17</v>
      </c>
      <c r="G21" s="14"/>
      <c r="H21" s="14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7"/>
      <c r="B22" s="17" t="s">
        <v>76</v>
      </c>
      <c r="C22" s="17" t="s">
        <v>77</v>
      </c>
      <c r="D22" s="15" t="s">
        <v>17</v>
      </c>
      <c r="E22" s="15" t="s">
        <v>17</v>
      </c>
      <c r="F22" s="15" t="s">
        <v>17</v>
      </c>
      <c r="G22" s="15" t="s">
        <v>17</v>
      </c>
      <c r="H22" s="14"/>
      <c r="I22" s="23" t="s">
        <v>78</v>
      </c>
      <c r="J22" s="23">
        <v>2</v>
      </c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7"/>
      <c r="B23" s="13" t="s">
        <v>79</v>
      </c>
      <c r="C23" s="13"/>
      <c r="D23" s="14"/>
      <c r="E23" s="15" t="s">
        <v>17</v>
      </c>
      <c r="F23" s="14"/>
      <c r="G23" s="14"/>
      <c r="H23" s="14"/>
      <c r="I23" s="13"/>
      <c r="J23" s="13"/>
      <c r="K23" s="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7"/>
      <c r="B24" s="17" t="s">
        <v>80</v>
      </c>
      <c r="C24" s="22" t="s">
        <v>81</v>
      </c>
      <c r="D24" s="15" t="s">
        <v>17</v>
      </c>
      <c r="E24" s="15" t="s">
        <v>17</v>
      </c>
      <c r="F24" s="15" t="s">
        <v>17</v>
      </c>
      <c r="G24" s="14"/>
      <c r="H24" s="14"/>
      <c r="I24" s="17"/>
      <c r="J24" s="17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7"/>
      <c r="B25" s="13" t="s">
        <v>82</v>
      </c>
      <c r="C25" s="13"/>
      <c r="D25" s="14"/>
      <c r="E25" s="15" t="s">
        <v>17</v>
      </c>
      <c r="F25" s="15" t="s">
        <v>17</v>
      </c>
      <c r="G25" s="14"/>
      <c r="H25" s="14"/>
      <c r="I25" s="13"/>
      <c r="J25" s="13"/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7"/>
      <c r="B26" s="17" t="s">
        <v>83</v>
      </c>
      <c r="C26" s="17" t="s">
        <v>84</v>
      </c>
      <c r="D26" s="15" t="s">
        <v>17</v>
      </c>
      <c r="E26" s="15" t="s">
        <v>17</v>
      </c>
      <c r="F26" s="15" t="s">
        <v>17</v>
      </c>
      <c r="G26" s="14"/>
      <c r="H26" s="15" t="s">
        <v>17</v>
      </c>
      <c r="I26" s="17"/>
      <c r="J26" s="22" t="s">
        <v>85</v>
      </c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7"/>
      <c r="B27" s="13" t="s">
        <v>86</v>
      </c>
      <c r="C27" s="13" t="s">
        <v>87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6" t="s">
        <v>88</v>
      </c>
      <c r="J27" s="16">
        <v>2</v>
      </c>
      <c r="K27" s="13" t="s">
        <v>89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7"/>
      <c r="B28" s="17" t="s">
        <v>90</v>
      </c>
      <c r="C28" s="17" t="s">
        <v>91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23" t="s">
        <v>88</v>
      </c>
      <c r="J28" s="23">
        <v>2</v>
      </c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2">
      <c r="A29" s="7"/>
      <c r="B29" s="13" t="s">
        <v>92</v>
      </c>
      <c r="C29" s="13"/>
      <c r="D29" s="15" t="s">
        <v>17</v>
      </c>
      <c r="E29" s="14"/>
      <c r="F29" s="14"/>
      <c r="G29" s="14"/>
      <c r="H29" s="14"/>
      <c r="I29" s="13"/>
      <c r="J29" s="13"/>
      <c r="K29" s="1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2">
      <c r="A30" s="7"/>
      <c r="B30" s="17" t="s">
        <v>93</v>
      </c>
      <c r="C30" s="22" t="s">
        <v>94</v>
      </c>
      <c r="D30" s="15" t="s">
        <v>17</v>
      </c>
      <c r="E30" s="15" t="s">
        <v>17</v>
      </c>
      <c r="F30" s="14"/>
      <c r="G30" s="14"/>
      <c r="H30" s="15" t="s">
        <v>17</v>
      </c>
      <c r="I30" s="17"/>
      <c r="J30" s="17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2">
      <c r="A31" s="7"/>
      <c r="B31" s="13" t="s">
        <v>95</v>
      </c>
      <c r="C31" s="13" t="s">
        <v>96</v>
      </c>
      <c r="D31" s="15" t="s">
        <v>17</v>
      </c>
      <c r="E31" s="15" t="s">
        <v>17</v>
      </c>
      <c r="F31" s="14"/>
      <c r="G31" s="14"/>
      <c r="H31" s="15" t="s">
        <v>17</v>
      </c>
      <c r="I31" s="13"/>
      <c r="J31" s="13"/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2">
      <c r="A32" s="7"/>
      <c r="B32" s="17" t="s">
        <v>97</v>
      </c>
      <c r="C32" s="22" t="s">
        <v>98</v>
      </c>
      <c r="D32" s="15" t="s">
        <v>17</v>
      </c>
      <c r="E32" s="15" t="s">
        <v>17</v>
      </c>
      <c r="F32" s="15" t="s">
        <v>17</v>
      </c>
      <c r="G32" s="14"/>
      <c r="H32" s="14"/>
      <c r="I32" s="17"/>
      <c r="J32" s="17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2">
      <c r="A33" s="7"/>
      <c r="B33" s="13" t="s">
        <v>99</v>
      </c>
      <c r="C33" s="13" t="s">
        <v>100</v>
      </c>
      <c r="D33" s="15" t="s">
        <v>17</v>
      </c>
      <c r="E33" s="15" t="s">
        <v>17</v>
      </c>
      <c r="F33" s="15" t="s">
        <v>17</v>
      </c>
      <c r="G33" s="15" t="s">
        <v>17</v>
      </c>
      <c r="H33" s="14"/>
      <c r="I33" s="13"/>
      <c r="J33" s="28">
        <v>43586</v>
      </c>
      <c r="K33" s="13" t="s">
        <v>101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2">
      <c r="A34" s="7"/>
      <c r="B34" s="17" t="s">
        <v>102</v>
      </c>
      <c r="C34" s="17"/>
      <c r="D34" s="15" t="s">
        <v>17</v>
      </c>
      <c r="E34" s="14"/>
      <c r="F34" s="14"/>
      <c r="G34" s="14"/>
      <c r="H34" s="14"/>
      <c r="I34" s="17"/>
      <c r="J34" s="17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2">
      <c r="A35" s="7"/>
      <c r="B35" s="13" t="s">
        <v>103</v>
      </c>
      <c r="C35" s="13" t="s">
        <v>104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6" t="s">
        <v>105</v>
      </c>
      <c r="J35" s="13"/>
      <c r="K35" s="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2">
      <c r="A36" s="7"/>
      <c r="B36" s="17" t="s">
        <v>106</v>
      </c>
      <c r="C36" s="22" t="s">
        <v>107</v>
      </c>
      <c r="D36" s="15" t="s">
        <v>17</v>
      </c>
      <c r="E36" s="14"/>
      <c r="F36" s="15" t="s">
        <v>17</v>
      </c>
      <c r="G36" s="15" t="s">
        <v>17</v>
      </c>
      <c r="H36" s="14"/>
      <c r="I36" s="23" t="s">
        <v>108</v>
      </c>
      <c r="J36" s="23">
        <v>8</v>
      </c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2">
      <c r="A37" s="7"/>
      <c r="B37" s="13" t="s">
        <v>109</v>
      </c>
      <c r="C37" s="24" t="s">
        <v>110</v>
      </c>
      <c r="D37" s="14"/>
      <c r="E37" s="14"/>
      <c r="F37" s="15" t="s">
        <v>17</v>
      </c>
      <c r="G37" s="15" t="s">
        <v>17</v>
      </c>
      <c r="H37" s="14"/>
      <c r="I37" s="13"/>
      <c r="J37" s="13"/>
      <c r="K37" s="1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2">
      <c r="A38" s="7"/>
      <c r="B38" s="17" t="s">
        <v>111</v>
      </c>
      <c r="C38" s="17" t="s">
        <v>112</v>
      </c>
      <c r="D38" s="14"/>
      <c r="E38" s="14"/>
      <c r="F38" s="14"/>
      <c r="G38" s="15" t="s">
        <v>17</v>
      </c>
      <c r="H38" s="14"/>
      <c r="I38" s="23" t="s">
        <v>113</v>
      </c>
      <c r="J38" s="23">
        <v>4</v>
      </c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2">
      <c r="A39" s="7"/>
      <c r="B39" s="13" t="s">
        <v>114</v>
      </c>
      <c r="C39" s="13" t="s">
        <v>115</v>
      </c>
      <c r="D39" s="15" t="s">
        <v>17</v>
      </c>
      <c r="E39" s="15" t="s">
        <v>17</v>
      </c>
      <c r="F39" s="15" t="s">
        <v>17</v>
      </c>
      <c r="G39" s="14"/>
      <c r="H39" s="14"/>
      <c r="I39" s="13"/>
      <c r="J39" s="13"/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2">
      <c r="A40" s="7"/>
      <c r="B40" s="22" t="s">
        <v>116</v>
      </c>
      <c r="C40" s="22" t="s">
        <v>117</v>
      </c>
      <c r="D40" s="15" t="s">
        <v>17</v>
      </c>
      <c r="E40" s="15" t="s">
        <v>17</v>
      </c>
      <c r="F40" s="15" t="s">
        <v>17</v>
      </c>
      <c r="G40" s="14"/>
      <c r="H40" s="14"/>
      <c r="I40" s="17"/>
      <c r="J40" s="17"/>
      <c r="K40" s="1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2">
      <c r="A41" s="7"/>
      <c r="B41" s="13" t="s">
        <v>118</v>
      </c>
      <c r="C41" s="13" t="s">
        <v>119</v>
      </c>
      <c r="D41" s="14"/>
      <c r="E41" s="14"/>
      <c r="F41" s="14"/>
      <c r="G41" s="14"/>
      <c r="H41" s="15" t="s">
        <v>17</v>
      </c>
      <c r="I41" s="13"/>
      <c r="J41" s="13"/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2">
      <c r="A42" s="7"/>
      <c r="B42" s="17" t="s">
        <v>118</v>
      </c>
      <c r="C42" s="29" t="s">
        <v>120</v>
      </c>
      <c r="D42" s="14"/>
      <c r="E42" s="14"/>
      <c r="F42" s="14"/>
      <c r="G42" s="14"/>
      <c r="H42" s="15" t="s">
        <v>17</v>
      </c>
      <c r="I42" s="17"/>
      <c r="J42" s="17"/>
      <c r="K42" s="1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2">
      <c r="A43" s="7"/>
      <c r="B43" s="13" t="s">
        <v>121</v>
      </c>
      <c r="C43" s="13"/>
      <c r="D43" s="15" t="s">
        <v>17</v>
      </c>
      <c r="E43" s="14"/>
      <c r="F43" s="14"/>
      <c r="G43" s="14"/>
      <c r="H43" s="14"/>
      <c r="I43" s="13"/>
      <c r="J43" s="13"/>
      <c r="K43" s="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2">
      <c r="A44" s="7"/>
      <c r="B44" s="17" t="s">
        <v>122</v>
      </c>
      <c r="C44" s="17" t="s">
        <v>123</v>
      </c>
      <c r="D44" s="14"/>
      <c r="E44" s="14"/>
      <c r="F44" s="15" t="s">
        <v>17</v>
      </c>
      <c r="G44" s="15" t="s">
        <v>17</v>
      </c>
      <c r="H44" s="14"/>
      <c r="I44" s="23" t="s">
        <v>124</v>
      </c>
      <c r="J44" s="23">
        <v>2</v>
      </c>
      <c r="K44" s="1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2">
      <c r="A45" s="7"/>
      <c r="B45" s="13" t="s">
        <v>125</v>
      </c>
      <c r="C45" s="13"/>
      <c r="D45" s="15" t="s">
        <v>17</v>
      </c>
      <c r="E45" s="15" t="s">
        <v>17</v>
      </c>
      <c r="F45" s="14"/>
      <c r="G45" s="14"/>
      <c r="H45" s="14"/>
      <c r="I45" s="13"/>
      <c r="J45" s="13"/>
      <c r="K45" s="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2">
      <c r="A46" s="7"/>
      <c r="B46" s="17" t="s">
        <v>126</v>
      </c>
      <c r="C46" s="17"/>
      <c r="D46" s="14"/>
      <c r="E46" s="14"/>
      <c r="F46" s="15" t="s">
        <v>17</v>
      </c>
      <c r="G46" s="14"/>
      <c r="H46" s="14"/>
      <c r="I46" s="17"/>
      <c r="J46" s="17"/>
      <c r="K46" s="1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2">
      <c r="A47" s="7"/>
      <c r="B47" s="13" t="s">
        <v>127</v>
      </c>
      <c r="C47" s="13"/>
      <c r="D47" s="14"/>
      <c r="E47" s="15" t="s">
        <v>17</v>
      </c>
      <c r="F47" s="15" t="s">
        <v>17</v>
      </c>
      <c r="G47" s="15" t="s">
        <v>17</v>
      </c>
      <c r="H47" s="14"/>
      <c r="I47" s="13"/>
      <c r="J47" s="13"/>
      <c r="K47" s="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2">
      <c r="A48" s="7"/>
      <c r="B48" s="17" t="s">
        <v>128</v>
      </c>
      <c r="C48" s="17" t="s">
        <v>129</v>
      </c>
      <c r="D48" s="14"/>
      <c r="E48" s="14"/>
      <c r="F48" s="14"/>
      <c r="G48" s="15" t="s">
        <v>17</v>
      </c>
      <c r="H48" s="15" t="s">
        <v>17</v>
      </c>
      <c r="I48" s="23" t="s">
        <v>130</v>
      </c>
      <c r="J48" s="17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2">
      <c r="A49" s="7"/>
      <c r="B49" s="13" t="s">
        <v>131</v>
      </c>
      <c r="C49" s="13" t="s">
        <v>132</v>
      </c>
      <c r="D49" s="14"/>
      <c r="E49" s="14"/>
      <c r="F49" s="14"/>
      <c r="G49" s="14"/>
      <c r="H49" s="15" t="s">
        <v>17</v>
      </c>
      <c r="I49" s="13"/>
      <c r="J49" s="13"/>
      <c r="K49" s="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2">
      <c r="A50" s="7"/>
      <c r="B50" s="17" t="s">
        <v>133</v>
      </c>
      <c r="C50" s="17" t="s">
        <v>134</v>
      </c>
      <c r="D50" s="15" t="s">
        <v>17</v>
      </c>
      <c r="E50" s="14"/>
      <c r="F50" s="14"/>
      <c r="G50" s="15" t="s">
        <v>17</v>
      </c>
      <c r="H50" s="15" t="s">
        <v>17</v>
      </c>
      <c r="I50" s="23" t="s">
        <v>113</v>
      </c>
      <c r="J50" s="30">
        <v>43587</v>
      </c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2">
      <c r="A51" s="7"/>
      <c r="B51" s="13" t="s">
        <v>135</v>
      </c>
      <c r="C51" s="13" t="s">
        <v>136</v>
      </c>
      <c r="D51" s="15" t="s">
        <v>17</v>
      </c>
      <c r="E51" s="15" t="s">
        <v>17</v>
      </c>
      <c r="F51" s="15" t="s">
        <v>17</v>
      </c>
      <c r="G51" s="15" t="s">
        <v>17</v>
      </c>
      <c r="H51" s="15" t="s">
        <v>17</v>
      </c>
      <c r="I51" s="16" t="s">
        <v>113</v>
      </c>
      <c r="J51" s="28">
        <v>43590</v>
      </c>
      <c r="K51" s="13" t="s">
        <v>137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2">
      <c r="A52" s="7"/>
      <c r="B52" s="17" t="s">
        <v>138</v>
      </c>
      <c r="C52" s="17"/>
      <c r="D52" s="14"/>
      <c r="E52" s="15" t="s">
        <v>17</v>
      </c>
      <c r="F52" s="14"/>
      <c r="G52" s="14"/>
      <c r="H52" s="14"/>
      <c r="I52" s="17"/>
      <c r="J52" s="17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2">
      <c r="A53" s="7"/>
      <c r="B53" s="13" t="s">
        <v>139</v>
      </c>
      <c r="C53" s="13" t="s">
        <v>140</v>
      </c>
      <c r="D53" s="15" t="s">
        <v>17</v>
      </c>
      <c r="E53" s="15" t="s">
        <v>17</v>
      </c>
      <c r="F53" s="15" t="s">
        <v>17</v>
      </c>
      <c r="G53" s="15" t="s">
        <v>17</v>
      </c>
      <c r="H53" s="14"/>
      <c r="I53" s="16" t="s">
        <v>141</v>
      </c>
      <c r="J53" s="16">
        <v>3</v>
      </c>
      <c r="K53" s="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2">
      <c r="A54" s="7"/>
      <c r="B54" s="17" t="s">
        <v>142</v>
      </c>
      <c r="C54" s="17" t="s">
        <v>77</v>
      </c>
      <c r="D54" s="14"/>
      <c r="E54" s="15" t="s">
        <v>17</v>
      </c>
      <c r="F54" s="14"/>
      <c r="G54" s="15" t="s">
        <v>17</v>
      </c>
      <c r="H54" s="14"/>
      <c r="I54" s="23" t="s">
        <v>43</v>
      </c>
      <c r="J54" s="23">
        <v>1</v>
      </c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2">
      <c r="A55" s="7"/>
      <c r="B55" s="13" t="s">
        <v>143</v>
      </c>
      <c r="C55" s="24" t="s">
        <v>144</v>
      </c>
      <c r="D55" s="15" t="s">
        <v>17</v>
      </c>
      <c r="E55" s="14"/>
      <c r="F55" s="14"/>
      <c r="G55" s="14"/>
      <c r="H55" s="14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2">
      <c r="A56" s="7"/>
      <c r="B56" s="17" t="s">
        <v>145</v>
      </c>
      <c r="C56" s="17" t="s">
        <v>146</v>
      </c>
      <c r="D56" s="15" t="s">
        <v>17</v>
      </c>
      <c r="E56" s="14"/>
      <c r="F56" s="14"/>
      <c r="G56" s="15" t="s">
        <v>17</v>
      </c>
      <c r="H56" s="15" t="s">
        <v>17</v>
      </c>
      <c r="I56" s="23" t="s">
        <v>147</v>
      </c>
      <c r="J56" s="17"/>
      <c r="K56" s="1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2">
      <c r="A57" s="7"/>
      <c r="B57" s="13" t="s">
        <v>148</v>
      </c>
      <c r="C57" s="31" t="s">
        <v>149</v>
      </c>
      <c r="D57" s="14"/>
      <c r="E57" s="14"/>
      <c r="F57" s="14"/>
      <c r="G57" s="14"/>
      <c r="H57" s="15" t="s">
        <v>17</v>
      </c>
      <c r="I57" s="13"/>
      <c r="J57" s="13"/>
      <c r="K57" s="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2">
      <c r="A58" s="7"/>
      <c r="B58" s="17" t="s">
        <v>150</v>
      </c>
      <c r="C58" s="17"/>
      <c r="D58" s="15" t="s">
        <v>17</v>
      </c>
      <c r="E58" s="15" t="s">
        <v>17</v>
      </c>
      <c r="F58" s="15" t="s">
        <v>17</v>
      </c>
      <c r="G58" s="14"/>
      <c r="H58" s="14"/>
      <c r="I58" s="17"/>
      <c r="J58" s="17"/>
      <c r="K58" s="1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2">
      <c r="A59" s="7"/>
      <c r="B59" s="13" t="s">
        <v>151</v>
      </c>
      <c r="C59" s="13"/>
      <c r="D59" s="14"/>
      <c r="E59" s="15" t="s">
        <v>17</v>
      </c>
      <c r="F59" s="14"/>
      <c r="G59" s="14"/>
      <c r="H59" s="14"/>
      <c r="I59" s="13"/>
      <c r="J59" s="13"/>
      <c r="K59" s="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2">
      <c r="A60" s="7"/>
      <c r="B60" s="17" t="s">
        <v>152</v>
      </c>
      <c r="C60" s="17"/>
      <c r="D60" s="14"/>
      <c r="E60" s="14"/>
      <c r="F60" s="15" t="s">
        <v>17</v>
      </c>
      <c r="G60" s="14"/>
      <c r="H60" s="14"/>
      <c r="I60" s="17"/>
      <c r="J60" s="17"/>
      <c r="K60" s="1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2">
      <c r="A61" s="7"/>
      <c r="B61" s="13" t="s">
        <v>153</v>
      </c>
      <c r="C61" s="31" t="s">
        <v>154</v>
      </c>
      <c r="D61" s="14"/>
      <c r="E61" s="14"/>
      <c r="F61" s="14"/>
      <c r="G61" s="15" t="s">
        <v>17</v>
      </c>
      <c r="H61" s="14"/>
      <c r="I61" s="16" t="s">
        <v>24</v>
      </c>
      <c r="J61" s="16" t="s">
        <v>155</v>
      </c>
      <c r="K61" s="31" t="s">
        <v>156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2">
      <c r="A62" s="7"/>
      <c r="B62" s="17" t="s">
        <v>157</v>
      </c>
      <c r="C62" s="17" t="s">
        <v>158</v>
      </c>
      <c r="D62" s="15" t="s">
        <v>17</v>
      </c>
      <c r="E62" s="14"/>
      <c r="F62" s="15" t="s">
        <v>17</v>
      </c>
      <c r="G62" s="15" t="s">
        <v>17</v>
      </c>
      <c r="H62" s="15" t="s">
        <v>17</v>
      </c>
      <c r="I62" s="23" t="s">
        <v>19</v>
      </c>
      <c r="J62" s="23">
        <v>5</v>
      </c>
      <c r="K62" s="1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2">
      <c r="A63" s="7"/>
      <c r="B63" s="13" t="s">
        <v>159</v>
      </c>
      <c r="C63" s="13"/>
      <c r="D63" s="14"/>
      <c r="E63" s="15" t="s">
        <v>17</v>
      </c>
      <c r="F63" s="14"/>
      <c r="G63" s="14"/>
      <c r="H63" s="14"/>
      <c r="I63" s="13"/>
      <c r="J63" s="13"/>
      <c r="K63" s="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2">
      <c r="A64" s="7"/>
      <c r="B64" s="17" t="s">
        <v>160</v>
      </c>
      <c r="C64" s="17" t="s">
        <v>161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23" t="s">
        <v>162</v>
      </c>
      <c r="J64" s="23">
        <v>9</v>
      </c>
      <c r="K64" s="1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2">
      <c r="A65" s="7"/>
      <c r="B65" s="13" t="s">
        <v>163</v>
      </c>
      <c r="C65" s="13" t="s">
        <v>164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6" t="s">
        <v>162</v>
      </c>
      <c r="J65" s="13"/>
      <c r="K65" s="13" t="s">
        <v>165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2">
      <c r="A66" s="7"/>
      <c r="B66" s="17" t="s">
        <v>166</v>
      </c>
      <c r="C66" s="17" t="s">
        <v>167</v>
      </c>
      <c r="D66" s="15" t="s">
        <v>17</v>
      </c>
      <c r="E66" s="14"/>
      <c r="F66" s="15" t="s">
        <v>17</v>
      </c>
      <c r="G66" s="15" t="s">
        <v>17</v>
      </c>
      <c r="H66" s="15" t="s">
        <v>17</v>
      </c>
      <c r="I66" s="23" t="s">
        <v>113</v>
      </c>
      <c r="J66" s="23">
        <v>1</v>
      </c>
      <c r="K66" s="17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2">
      <c r="A67" s="7"/>
      <c r="B67" s="13" t="s">
        <v>168</v>
      </c>
      <c r="C67" s="13" t="s">
        <v>169</v>
      </c>
      <c r="D67" s="14"/>
      <c r="E67" s="14"/>
      <c r="F67" s="14"/>
      <c r="G67" s="14"/>
      <c r="H67" s="15" t="s">
        <v>17</v>
      </c>
      <c r="I67" s="13"/>
      <c r="J67" s="32">
        <v>4</v>
      </c>
      <c r="K67" s="13" t="s">
        <v>170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2">
      <c r="A68" s="7"/>
      <c r="B68" s="17" t="s">
        <v>171</v>
      </c>
      <c r="C68" s="17" t="s">
        <v>172</v>
      </c>
      <c r="D68" s="14"/>
      <c r="E68" s="14"/>
      <c r="F68" s="14"/>
      <c r="G68" s="14"/>
      <c r="H68" s="15" t="s">
        <v>17</v>
      </c>
      <c r="I68" s="17"/>
      <c r="J68" s="17"/>
      <c r="K68" s="17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2">
      <c r="A69" s="7"/>
      <c r="B69" s="13" t="s">
        <v>173</v>
      </c>
      <c r="C69" s="13" t="s">
        <v>174</v>
      </c>
      <c r="D69" s="14"/>
      <c r="E69" s="14"/>
      <c r="F69" s="14"/>
      <c r="G69" s="14"/>
      <c r="H69" s="15" t="s">
        <v>17</v>
      </c>
      <c r="I69" s="13" t="s">
        <v>43</v>
      </c>
      <c r="J69" s="32">
        <v>2</v>
      </c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2">
      <c r="A70" s="7"/>
      <c r="B70" s="17" t="s">
        <v>175</v>
      </c>
      <c r="C70" s="17"/>
      <c r="D70" s="15" t="s">
        <v>17</v>
      </c>
      <c r="E70" s="15" t="s">
        <v>17</v>
      </c>
      <c r="F70" s="15" t="s">
        <v>17</v>
      </c>
      <c r="G70" s="15" t="s">
        <v>17</v>
      </c>
      <c r="H70" s="14"/>
      <c r="I70" s="17"/>
      <c r="J70" s="17"/>
      <c r="K70" s="1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2">
      <c r="A71" s="7"/>
      <c r="B71" s="13" t="s">
        <v>176</v>
      </c>
      <c r="C71" s="13" t="s">
        <v>177</v>
      </c>
      <c r="D71" s="14"/>
      <c r="E71" s="14"/>
      <c r="F71" s="14"/>
      <c r="G71" s="14"/>
      <c r="H71" s="15" t="s">
        <v>17</v>
      </c>
      <c r="I71" s="13" t="s">
        <v>162</v>
      </c>
      <c r="J71" s="13"/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>
      <c r="A72" s="7"/>
      <c r="B72" s="17" t="s">
        <v>178</v>
      </c>
      <c r="C72" s="17" t="s">
        <v>179</v>
      </c>
      <c r="D72" s="14"/>
      <c r="E72" s="14"/>
      <c r="F72" s="14"/>
      <c r="G72" s="14"/>
      <c r="H72" s="15" t="s">
        <v>17</v>
      </c>
      <c r="I72" s="17" t="s">
        <v>19</v>
      </c>
      <c r="J72" s="17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2">
      <c r="A73" s="7"/>
      <c r="B73" s="13" t="s">
        <v>180</v>
      </c>
      <c r="C73" s="13"/>
      <c r="D73" s="15" t="s">
        <v>17</v>
      </c>
      <c r="E73" s="15" t="s">
        <v>17</v>
      </c>
      <c r="F73" s="15" t="s">
        <v>17</v>
      </c>
      <c r="G73" s="14"/>
      <c r="H73" s="14"/>
      <c r="I73" s="13"/>
      <c r="J73" s="13"/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2">
      <c r="A74" s="7"/>
      <c r="B74" s="17" t="s">
        <v>181</v>
      </c>
      <c r="C74" s="22" t="s">
        <v>182</v>
      </c>
      <c r="D74" s="15" t="s">
        <v>17</v>
      </c>
      <c r="E74" s="15" t="s">
        <v>17</v>
      </c>
      <c r="F74" s="15" t="s">
        <v>17</v>
      </c>
      <c r="G74" s="15" t="s">
        <v>17</v>
      </c>
      <c r="H74" s="15" t="s">
        <v>17</v>
      </c>
      <c r="I74" s="17" t="s">
        <v>183</v>
      </c>
      <c r="J74" s="17"/>
      <c r="K74" s="17" t="s">
        <v>184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2">
      <c r="A75" s="7"/>
      <c r="B75" s="13" t="s">
        <v>185</v>
      </c>
      <c r="C75" s="13" t="s">
        <v>186</v>
      </c>
      <c r="D75" s="15" t="s">
        <v>17</v>
      </c>
      <c r="E75" s="15" t="s">
        <v>17</v>
      </c>
      <c r="F75" s="15" t="s">
        <v>17</v>
      </c>
      <c r="G75" s="15" t="s">
        <v>17</v>
      </c>
      <c r="H75" s="14"/>
      <c r="I75" s="13" t="s">
        <v>187</v>
      </c>
      <c r="J75" s="32">
        <v>9</v>
      </c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2">
      <c r="A76" s="7"/>
      <c r="B76" s="17" t="s">
        <v>188</v>
      </c>
      <c r="C76" s="17"/>
      <c r="D76" s="14"/>
      <c r="E76" s="14"/>
      <c r="F76" s="15" t="s">
        <v>17</v>
      </c>
      <c r="G76" s="14"/>
      <c r="H76" s="14"/>
      <c r="I76" s="17"/>
      <c r="J76" s="17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2">
      <c r="A77" s="7"/>
      <c r="B77" s="13" t="s">
        <v>189</v>
      </c>
      <c r="C77" s="13" t="s">
        <v>190</v>
      </c>
      <c r="D77" s="15" t="s">
        <v>17</v>
      </c>
      <c r="E77" s="14"/>
      <c r="F77" s="15" t="s">
        <v>17</v>
      </c>
      <c r="G77" s="15" t="s">
        <v>17</v>
      </c>
      <c r="H77" s="15" t="s">
        <v>17</v>
      </c>
      <c r="I77" s="13" t="s">
        <v>191</v>
      </c>
      <c r="J77" s="32">
        <v>12</v>
      </c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2">
      <c r="A78" s="7"/>
      <c r="B78" s="17" t="s">
        <v>192</v>
      </c>
      <c r="C78" s="17"/>
      <c r="D78" s="14"/>
      <c r="E78" s="15" t="s">
        <v>17</v>
      </c>
      <c r="F78" s="15" t="s">
        <v>17</v>
      </c>
      <c r="G78" s="14"/>
      <c r="H78" s="14"/>
      <c r="I78" s="17"/>
      <c r="J78" s="17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2">
      <c r="A79" s="2"/>
      <c r="B79" s="13" t="s">
        <v>193</v>
      </c>
      <c r="C79" s="13" t="s">
        <v>194</v>
      </c>
      <c r="D79" s="37"/>
      <c r="E79" s="37"/>
      <c r="F79" s="37"/>
      <c r="G79" s="37"/>
      <c r="H79" s="38" t="s">
        <v>17</v>
      </c>
      <c r="I79" s="13" t="s">
        <v>43</v>
      </c>
      <c r="J79" s="13"/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2">
      <c r="A80" s="2"/>
      <c r="B80" s="2"/>
      <c r="C80" s="2"/>
      <c r="D80" s="39"/>
      <c r="E80" s="39"/>
      <c r="F80" s="39"/>
      <c r="G80" s="39"/>
      <c r="H80" s="3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2">
      <c r="A81" s="2"/>
      <c r="B81" s="2"/>
      <c r="C81" s="2"/>
      <c r="D81" s="39"/>
      <c r="E81" s="39"/>
      <c r="F81" s="39"/>
      <c r="G81" s="39"/>
      <c r="H81" s="3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2">
      <c r="A82" s="2"/>
      <c r="B82" s="2"/>
      <c r="C82" s="2"/>
      <c r="D82" s="39"/>
      <c r="E82" s="39"/>
      <c r="F82" s="39"/>
      <c r="G82" s="39"/>
      <c r="H82" s="3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2">
      <c r="A83" s="2"/>
      <c r="B83" s="2"/>
      <c r="C83" s="2"/>
      <c r="D83" s="39"/>
      <c r="E83" s="39"/>
      <c r="F83" s="39"/>
      <c r="G83" s="39"/>
      <c r="H83" s="3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2">
      <c r="A84" s="2"/>
      <c r="B84" s="2"/>
      <c r="C84" s="2"/>
      <c r="D84" s="39"/>
      <c r="E84" s="39"/>
      <c r="F84" s="39"/>
      <c r="G84" s="39"/>
      <c r="H84" s="3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2">
      <c r="A85" s="2"/>
      <c r="B85" s="2"/>
      <c r="C85" s="2"/>
      <c r="D85" s="39"/>
      <c r="E85" s="39"/>
      <c r="F85" s="39"/>
      <c r="G85" s="39"/>
      <c r="H85" s="3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2">
      <c r="A86" s="2"/>
      <c r="B86" s="2"/>
      <c r="C86" s="2"/>
      <c r="D86" s="39"/>
      <c r="E86" s="39"/>
      <c r="F86" s="39"/>
      <c r="G86" s="39"/>
      <c r="H86" s="3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2">
      <c r="A87" s="2"/>
      <c r="B87" s="2"/>
      <c r="C87" s="2"/>
      <c r="D87" s="39"/>
      <c r="E87" s="39"/>
      <c r="F87" s="39"/>
      <c r="G87" s="39"/>
      <c r="H87" s="3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2">
      <c r="A88" s="2"/>
      <c r="B88" s="2"/>
      <c r="C88" s="2"/>
      <c r="D88" s="39"/>
      <c r="E88" s="39"/>
      <c r="F88" s="39"/>
      <c r="G88" s="39"/>
      <c r="H88" s="3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2">
      <c r="A89" s="2"/>
      <c r="B89" s="2"/>
      <c r="C89" s="2"/>
      <c r="D89" s="39"/>
      <c r="E89" s="39"/>
      <c r="F89" s="39"/>
      <c r="G89" s="39"/>
      <c r="H89" s="3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2">
      <c r="A90" s="2"/>
      <c r="B90" s="2"/>
      <c r="C90" s="2"/>
      <c r="D90" s="39"/>
      <c r="E90" s="39"/>
      <c r="F90" s="39"/>
      <c r="G90" s="39"/>
      <c r="H90" s="3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2">
      <c r="A91" s="2"/>
      <c r="B91" s="2"/>
      <c r="C91" s="2"/>
      <c r="D91" s="39"/>
      <c r="E91" s="39"/>
      <c r="F91" s="39"/>
      <c r="G91" s="39"/>
      <c r="H91" s="3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2">
      <c r="A92" s="2"/>
      <c r="B92" s="2"/>
      <c r="C92" s="2"/>
      <c r="D92" s="39"/>
      <c r="E92" s="39"/>
      <c r="F92" s="39"/>
      <c r="G92" s="39"/>
      <c r="H92" s="3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2">
      <c r="A93" s="2"/>
      <c r="B93" s="2"/>
      <c r="C93" s="2"/>
      <c r="D93" s="39"/>
      <c r="E93" s="39"/>
      <c r="F93" s="39"/>
      <c r="G93" s="39"/>
      <c r="H93" s="3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2">
      <c r="A94" s="2"/>
      <c r="B94" s="2"/>
      <c r="C94" s="2"/>
      <c r="D94" s="39"/>
      <c r="E94" s="39"/>
      <c r="F94" s="39"/>
      <c r="G94" s="39"/>
      <c r="H94" s="3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2">
      <c r="A95" s="2"/>
      <c r="B95" s="2"/>
      <c r="C95" s="2"/>
      <c r="D95" s="39"/>
      <c r="E95" s="39"/>
      <c r="F95" s="39"/>
      <c r="G95" s="39"/>
      <c r="H95" s="3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2">
      <c r="A96" s="2"/>
      <c r="B96" s="2"/>
      <c r="C96" s="2"/>
      <c r="D96" s="39"/>
      <c r="E96" s="39"/>
      <c r="F96" s="39"/>
      <c r="G96" s="39"/>
      <c r="H96" s="3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2">
      <c r="A97" s="2"/>
      <c r="B97" s="2"/>
      <c r="C97" s="2"/>
      <c r="D97" s="39"/>
      <c r="E97" s="39"/>
      <c r="F97" s="39"/>
      <c r="G97" s="39"/>
      <c r="H97" s="3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2">
      <c r="A98" s="2"/>
      <c r="B98" s="2"/>
      <c r="C98" s="2"/>
      <c r="D98" s="39"/>
      <c r="E98" s="39"/>
      <c r="F98" s="39"/>
      <c r="G98" s="39"/>
      <c r="H98" s="3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2">
      <c r="A99" s="2"/>
      <c r="B99" s="2"/>
      <c r="C99" s="2"/>
      <c r="D99" s="39"/>
      <c r="E99" s="39"/>
      <c r="F99" s="39"/>
      <c r="G99" s="39"/>
      <c r="H99" s="3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2">
      <c r="A100" s="2"/>
      <c r="B100" s="2"/>
      <c r="C100" s="2"/>
      <c r="D100" s="39"/>
      <c r="E100" s="39"/>
      <c r="F100" s="39"/>
      <c r="G100" s="39"/>
      <c r="H100" s="3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2">
      <c r="A101" s="2"/>
      <c r="B101" s="2"/>
      <c r="C101" s="2"/>
      <c r="D101" s="39"/>
      <c r="E101" s="39"/>
      <c r="F101" s="39"/>
      <c r="G101" s="39"/>
      <c r="H101" s="3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3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3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3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3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3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3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3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3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3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3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3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3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3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3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3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3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3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3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3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3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3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3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3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3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3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3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3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3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3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3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3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3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3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3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3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3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3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3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3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3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3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3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3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3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3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3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 ht="13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 ht="13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 ht="13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 ht="13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 ht="13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 ht="13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 ht="13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 ht="13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 ht="13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  <row r="1059" spans="1:30" ht="13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</row>
    <row r="1060" spans="1:30" ht="13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</row>
    <row r="1061" spans="1:30" ht="13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</row>
    <row r="1062" spans="1:30" ht="13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</row>
    <row r="1063" spans="1:30" ht="13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</row>
    <row r="1064" spans="1:30" ht="13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</row>
    <row r="1065" spans="1:30" ht="13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</row>
    <row r="1066" spans="1:30" ht="13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</row>
    <row r="1067" spans="1:30" ht="13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</row>
    <row r="1068" spans="1:30" ht="13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</row>
    <row r="1069" spans="1:30" ht="13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</row>
    <row r="1070" spans="1:30" ht="13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</row>
    <row r="1071" spans="1:30" ht="13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</row>
    <row r="1072" spans="1:30" ht="13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</row>
    <row r="1073" spans="1:30" ht="13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</row>
    <row r="1074" spans="1:30" ht="13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</row>
    <row r="1075" spans="1:30" ht="13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</row>
    <row r="1076" spans="1:30" ht="13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</row>
    <row r="1077" spans="1:30" ht="13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</row>
    <row r="1078" spans="1:30" ht="13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</row>
    <row r="1079" spans="1:30" ht="13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</row>
    <row r="1080" spans="1:30" ht="13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</row>
    <row r="1081" spans="1:30" ht="13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</row>
    <row r="1082" spans="1:30" ht="13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</row>
    <row r="1083" spans="1:30" ht="13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</row>
    <row r="1084" spans="1:30" ht="13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</row>
    <row r="1085" spans="1:30" ht="13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</row>
    <row r="1086" spans="1:30" ht="13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</row>
    <row r="1087" spans="1:30" ht="13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</row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workbookViewId="0"/>
  </sheetViews>
  <sheetFormatPr baseColWidth="10" defaultColWidth="14.44140625" defaultRowHeight="15.75" customHeight="1"/>
  <cols>
    <col min="1" max="1" width="17" customWidth="1"/>
    <col min="2" max="2" width="40.109375" customWidth="1"/>
    <col min="4" max="4" width="14.6640625" customWidth="1"/>
    <col min="6" max="6" width="54.88671875" customWidth="1"/>
  </cols>
  <sheetData>
    <row r="1" spans="1:9" ht="17.399999999999999">
      <c r="A1" s="293" t="s">
        <v>509</v>
      </c>
      <c r="C1" s="202" t="s">
        <v>446</v>
      </c>
      <c r="D1" s="294">
        <f>SUM(D4:D21)</f>
        <v>976.36666666666667</v>
      </c>
    </row>
    <row r="3" spans="1:9" ht="51" customHeight="1">
      <c r="A3" s="295" t="s">
        <v>427</v>
      </c>
      <c r="B3" s="296" t="s">
        <v>510</v>
      </c>
      <c r="C3" s="296" t="s">
        <v>511</v>
      </c>
      <c r="D3" s="297" t="s">
        <v>512</v>
      </c>
      <c r="E3" s="298" t="s">
        <v>513</v>
      </c>
      <c r="F3" s="298" t="s">
        <v>434</v>
      </c>
    </row>
    <row r="4" spans="1:9" ht="13.8">
      <c r="A4" s="299" t="s">
        <v>514</v>
      </c>
      <c r="B4" s="299" t="s">
        <v>515</v>
      </c>
      <c r="C4" s="300">
        <v>1</v>
      </c>
      <c r="D4" s="301">
        <f>70/1.2</f>
        <v>58.333333333333336</v>
      </c>
      <c r="E4" s="202" t="s">
        <v>516</v>
      </c>
      <c r="F4" s="202" t="s">
        <v>517</v>
      </c>
      <c r="G4" s="302"/>
    </row>
    <row r="5" spans="1:9" ht="13.2">
      <c r="A5" s="303" t="s">
        <v>518</v>
      </c>
      <c r="B5" s="304" t="s">
        <v>519</v>
      </c>
      <c r="C5" s="304">
        <v>1</v>
      </c>
      <c r="D5" s="305">
        <v>162.63999999999999</v>
      </c>
      <c r="E5" s="202" t="s">
        <v>520</v>
      </c>
      <c r="F5" s="202" t="s">
        <v>521</v>
      </c>
      <c r="G5" s="202" t="s">
        <v>522</v>
      </c>
      <c r="I5" s="202" t="s">
        <v>523</v>
      </c>
    </row>
    <row r="6" spans="1:9" ht="13.2">
      <c r="A6" s="303" t="s">
        <v>524</v>
      </c>
      <c r="B6" s="304" t="s">
        <v>525</v>
      </c>
      <c r="C6" s="304">
        <v>1</v>
      </c>
      <c r="D6" s="305">
        <v>82.72</v>
      </c>
      <c r="E6" s="202" t="s">
        <v>520</v>
      </c>
      <c r="F6" s="202" t="s">
        <v>521</v>
      </c>
      <c r="G6" s="202" t="s">
        <v>522</v>
      </c>
      <c r="I6" s="202" t="s">
        <v>526</v>
      </c>
    </row>
    <row r="7" spans="1:9" ht="13.2">
      <c r="A7" s="303" t="s">
        <v>527</v>
      </c>
      <c r="B7" s="304" t="s">
        <v>528</v>
      </c>
      <c r="C7" s="304">
        <v>1</v>
      </c>
      <c r="D7" s="305">
        <v>80</v>
      </c>
      <c r="E7" s="202" t="s">
        <v>520</v>
      </c>
      <c r="F7" s="202" t="s">
        <v>521</v>
      </c>
      <c r="G7" s="302"/>
      <c r="I7" s="202" t="s">
        <v>529</v>
      </c>
    </row>
    <row r="8" spans="1:9" ht="13.2">
      <c r="A8" s="303" t="s">
        <v>530</v>
      </c>
      <c r="B8" s="304" t="s">
        <v>531</v>
      </c>
      <c r="C8" s="304">
        <v>1</v>
      </c>
      <c r="D8" s="305">
        <v>79.150000000000006</v>
      </c>
      <c r="E8" s="202" t="s">
        <v>516</v>
      </c>
      <c r="F8" s="202" t="s">
        <v>521</v>
      </c>
      <c r="G8" s="202" t="s">
        <v>522</v>
      </c>
    </row>
    <row r="9" spans="1:9" ht="13.2">
      <c r="A9" s="303" t="s">
        <v>532</v>
      </c>
      <c r="B9" s="304" t="s">
        <v>533</v>
      </c>
      <c r="C9" s="304">
        <v>1</v>
      </c>
      <c r="D9" s="305">
        <v>63.19</v>
      </c>
      <c r="E9" s="202" t="s">
        <v>520</v>
      </c>
      <c r="F9" s="202" t="s">
        <v>521</v>
      </c>
      <c r="G9" s="202" t="s">
        <v>522</v>
      </c>
    </row>
    <row r="10" spans="1:9" ht="13.2">
      <c r="A10" s="303" t="s">
        <v>534</v>
      </c>
      <c r="B10" s="304" t="s">
        <v>535</v>
      </c>
      <c r="C10" s="304">
        <v>1</v>
      </c>
      <c r="D10" s="305">
        <v>72</v>
      </c>
      <c r="E10" s="202" t="s">
        <v>520</v>
      </c>
      <c r="F10" s="202" t="s">
        <v>521</v>
      </c>
      <c r="G10" s="202" t="s">
        <v>522</v>
      </c>
    </row>
    <row r="11" spans="1:9" ht="13.2">
      <c r="A11" s="306" t="s">
        <v>536</v>
      </c>
      <c r="B11" s="300" t="s">
        <v>537</v>
      </c>
      <c r="C11" s="300">
        <v>1</v>
      </c>
      <c r="D11" s="307">
        <v>20</v>
      </c>
      <c r="E11" s="202" t="s">
        <v>516</v>
      </c>
      <c r="F11" s="202" t="s">
        <v>538</v>
      </c>
      <c r="G11" s="202" t="s">
        <v>522</v>
      </c>
    </row>
    <row r="12" spans="1:9" ht="13.2">
      <c r="A12" s="308" t="s">
        <v>539</v>
      </c>
      <c r="B12" s="300" t="s">
        <v>540</v>
      </c>
      <c r="C12" s="300">
        <v>1</v>
      </c>
      <c r="D12" s="301">
        <f>25/1.2</f>
        <v>20.833333333333336</v>
      </c>
      <c r="E12" s="202" t="s">
        <v>520</v>
      </c>
      <c r="F12" s="202" t="s">
        <v>541</v>
      </c>
      <c r="G12" s="202" t="s">
        <v>522</v>
      </c>
    </row>
    <row r="13" spans="1:9" ht="13.2">
      <c r="A13" s="309" t="s">
        <v>542</v>
      </c>
      <c r="B13" s="310" t="s">
        <v>543</v>
      </c>
      <c r="C13" s="310">
        <v>1</v>
      </c>
      <c r="D13" s="311">
        <f>50/1.2</f>
        <v>41.666666666666671</v>
      </c>
      <c r="E13" s="202" t="s">
        <v>544</v>
      </c>
    </row>
    <row r="14" spans="1:9" ht="13.2">
      <c r="A14" s="308" t="s">
        <v>546</v>
      </c>
      <c r="B14" s="300" t="s">
        <v>547</v>
      </c>
      <c r="C14" s="300">
        <v>1</v>
      </c>
      <c r="D14" s="301">
        <f>30/1.2</f>
        <v>25</v>
      </c>
      <c r="E14" s="202" t="s">
        <v>516</v>
      </c>
      <c r="F14" s="202" t="s">
        <v>549</v>
      </c>
      <c r="G14" s="202" t="s">
        <v>522</v>
      </c>
    </row>
    <row r="15" spans="1:9" ht="13.2">
      <c r="A15" s="308" t="s">
        <v>550</v>
      </c>
      <c r="B15" s="300" t="s">
        <v>551</v>
      </c>
      <c r="C15" s="300">
        <v>1</v>
      </c>
      <c r="D15" s="301">
        <f>100/1.2</f>
        <v>83.333333333333343</v>
      </c>
      <c r="E15" s="202" t="s">
        <v>520</v>
      </c>
      <c r="F15" s="202" t="s">
        <v>554</v>
      </c>
      <c r="G15" s="202" t="s">
        <v>522</v>
      </c>
    </row>
    <row r="16" spans="1:9" ht="13.2">
      <c r="A16" s="309" t="s">
        <v>555</v>
      </c>
      <c r="B16" s="312" t="s">
        <v>556</v>
      </c>
      <c r="C16" s="310">
        <v>1</v>
      </c>
      <c r="D16" s="311">
        <f>25/1.2</f>
        <v>20.833333333333336</v>
      </c>
      <c r="E16" s="202" t="s">
        <v>516</v>
      </c>
      <c r="F16" s="202" t="s">
        <v>559</v>
      </c>
    </row>
    <row r="17" spans="1:7" ht="13.2">
      <c r="A17" s="314" t="s">
        <v>561</v>
      </c>
      <c r="B17" s="310" t="s">
        <v>563</v>
      </c>
      <c r="C17" s="310">
        <v>1</v>
      </c>
      <c r="D17" s="311">
        <f>20/1.2</f>
        <v>16.666666666666668</v>
      </c>
      <c r="E17" s="202" t="s">
        <v>520</v>
      </c>
      <c r="F17" s="202" t="s">
        <v>565</v>
      </c>
    </row>
    <row r="18" spans="1:7" ht="13.2">
      <c r="A18" s="315">
        <v>41985</v>
      </c>
      <c r="B18" s="300" t="s">
        <v>566</v>
      </c>
      <c r="C18" s="300">
        <v>1</v>
      </c>
      <c r="D18" s="307">
        <v>150</v>
      </c>
      <c r="E18" s="202" t="s">
        <v>520</v>
      </c>
      <c r="G18" s="202" t="s">
        <v>522</v>
      </c>
    </row>
    <row r="19" spans="1:7" ht="13.2">
      <c r="A19" s="316"/>
      <c r="B19" s="317"/>
      <c r="C19" s="317"/>
      <c r="D19" s="318"/>
    </row>
    <row r="20" spans="1:7" ht="13.2">
      <c r="A20" s="319"/>
      <c r="B20" s="320"/>
      <c r="C20" s="320"/>
      <c r="D20" s="321"/>
    </row>
    <row r="21" spans="1:7" ht="13.2">
      <c r="D21" s="294"/>
    </row>
    <row r="22" spans="1:7" ht="13.2">
      <c r="D22" s="294"/>
    </row>
    <row r="23" spans="1:7" ht="13.2">
      <c r="D23" s="294"/>
    </row>
    <row r="24" spans="1:7" ht="13.2">
      <c r="D24" s="294"/>
    </row>
    <row r="25" spans="1:7" ht="13.2">
      <c r="D25" s="294"/>
    </row>
    <row r="26" spans="1:7" ht="13.2">
      <c r="D26" s="294"/>
    </row>
    <row r="27" spans="1:7" ht="13.2">
      <c r="D27" s="294"/>
    </row>
    <row r="28" spans="1:7" ht="13.2">
      <c r="D28" s="294"/>
    </row>
    <row r="29" spans="1:7" ht="13.2">
      <c r="D29" s="294"/>
    </row>
    <row r="30" spans="1:7" ht="13.2">
      <c r="D30" s="294"/>
    </row>
    <row r="31" spans="1:7" ht="13.2">
      <c r="D31" s="294"/>
    </row>
    <row r="32" spans="1:7" ht="13.2">
      <c r="D32" s="294"/>
    </row>
    <row r="33" spans="4:4" ht="13.2">
      <c r="D33" s="294"/>
    </row>
    <row r="34" spans="4:4" ht="13.2">
      <c r="D34" s="294"/>
    </row>
    <row r="35" spans="4:4" ht="13.2">
      <c r="D35" s="294"/>
    </row>
    <row r="36" spans="4:4" ht="13.2">
      <c r="D36" s="294"/>
    </row>
  </sheetData>
  <autoFilter ref="A3:F21"/>
  <conditionalFormatting sqref="E4:E20">
    <cfRule type="containsText" dxfId="5" priority="1" operator="containsText" text="Haut">
      <formula>NOT(ISERROR(SEARCH(("Haut"),(E4))))</formula>
    </cfRule>
  </conditionalFormatting>
  <conditionalFormatting sqref="E4:E20">
    <cfRule type="containsText" dxfId="4" priority="2" operator="containsText" text="Moyenne">
      <formula>NOT(ISERROR(SEARCH(("Moyenne"),(E4))))</formula>
    </cfRule>
  </conditionalFormatting>
  <conditionalFormatting sqref="E4:E20">
    <cfRule type="containsText" dxfId="3" priority="3" operator="containsText" text="Basse">
      <formula>NOT(ISERROR(SEARCH(("Basse"),(E4))))</formula>
    </cfRule>
  </conditionalFormatting>
  <dataValidations count="1">
    <dataValidation type="list" allowBlank="1" showErrorMessage="1" sqref="E4:E20">
      <formula1>"Haut,Moyenne,Basse"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"/>
  <sheetViews>
    <sheetView workbookViewId="0"/>
  </sheetViews>
  <sheetFormatPr baseColWidth="10" defaultColWidth="14.44140625" defaultRowHeight="15.75" customHeight="1"/>
  <cols>
    <col min="1" max="1" width="15.109375" customWidth="1"/>
    <col min="2" max="2" width="34.109375" customWidth="1"/>
    <col min="3" max="3" width="16.5546875" customWidth="1"/>
    <col min="4" max="4" width="16.6640625" customWidth="1"/>
    <col min="5" max="5" width="19" customWidth="1"/>
    <col min="7" max="7" width="20" customWidth="1"/>
  </cols>
  <sheetData>
    <row r="1" spans="1:10" ht="15.75" customHeight="1">
      <c r="A1" s="246" t="s">
        <v>195</v>
      </c>
      <c r="B1" s="246" t="s">
        <v>426</v>
      </c>
      <c r="C1" s="246" t="s">
        <v>427</v>
      </c>
      <c r="D1" s="246" t="s">
        <v>545</v>
      </c>
      <c r="E1" s="246" t="s">
        <v>430</v>
      </c>
      <c r="F1" s="246" t="s">
        <v>431</v>
      </c>
      <c r="G1" s="247" t="s">
        <v>432</v>
      </c>
      <c r="H1" s="246" t="s">
        <v>433</v>
      </c>
      <c r="I1" s="246" t="s">
        <v>434</v>
      </c>
      <c r="J1" s="246" t="s">
        <v>435</v>
      </c>
    </row>
    <row r="2" spans="1:10" ht="15.75" customHeight="1">
      <c r="A2" s="272" t="s">
        <v>436</v>
      </c>
      <c r="B2" s="272" t="s">
        <v>548</v>
      </c>
      <c r="C2" s="249"/>
      <c r="D2" s="272">
        <v>500</v>
      </c>
      <c r="E2" s="272">
        <v>0.54</v>
      </c>
      <c r="F2" s="272">
        <v>270</v>
      </c>
      <c r="G2" s="249"/>
      <c r="H2" s="272" t="s">
        <v>214</v>
      </c>
      <c r="I2" s="249"/>
      <c r="J2" s="249"/>
    </row>
    <row r="3" spans="1:10" ht="15.75" customHeight="1">
      <c r="A3" s="272" t="s">
        <v>436</v>
      </c>
      <c r="B3" s="272" t="s">
        <v>552</v>
      </c>
      <c r="C3" s="249"/>
      <c r="D3" s="272">
        <v>100</v>
      </c>
      <c r="E3" s="272">
        <v>0.79</v>
      </c>
      <c r="F3" s="272">
        <v>79</v>
      </c>
      <c r="G3" s="249"/>
      <c r="H3" s="272" t="s">
        <v>214</v>
      </c>
      <c r="I3" s="249"/>
      <c r="J3" s="249"/>
    </row>
    <row r="4" spans="1:10" ht="15.75" customHeight="1">
      <c r="A4" s="272" t="s">
        <v>457</v>
      </c>
      <c r="B4" s="272" t="s">
        <v>553</v>
      </c>
      <c r="C4" s="249"/>
      <c r="D4" s="272">
        <v>30</v>
      </c>
      <c r="E4" s="272">
        <v>1.33</v>
      </c>
      <c r="F4" s="272">
        <v>39.9</v>
      </c>
      <c r="G4" s="249"/>
      <c r="H4" s="272" t="s">
        <v>214</v>
      </c>
      <c r="I4" s="249"/>
      <c r="J4" s="249"/>
    </row>
    <row r="5" spans="1:10" ht="15.75" customHeight="1">
      <c r="A5" s="272" t="s">
        <v>457</v>
      </c>
      <c r="B5" s="272" t="s">
        <v>557</v>
      </c>
      <c r="C5" s="249"/>
      <c r="D5" s="272">
        <v>30</v>
      </c>
      <c r="E5" s="272">
        <v>3.28</v>
      </c>
      <c r="F5" s="272">
        <v>98.4</v>
      </c>
      <c r="G5" s="249"/>
      <c r="H5" s="272" t="s">
        <v>214</v>
      </c>
      <c r="I5" s="249"/>
      <c r="J5" s="249"/>
    </row>
    <row r="6" spans="1:10" ht="15.75" customHeight="1">
      <c r="A6" s="249"/>
      <c r="B6" s="272" t="s">
        <v>558</v>
      </c>
      <c r="C6" s="249"/>
      <c r="D6" s="249"/>
      <c r="E6" s="272">
        <v>15</v>
      </c>
      <c r="F6" s="249">
        <f>E6</f>
        <v>15</v>
      </c>
      <c r="G6" s="249"/>
      <c r="H6" s="272" t="s">
        <v>214</v>
      </c>
      <c r="I6" s="249"/>
      <c r="J6" s="249"/>
    </row>
    <row r="8" spans="1:10" ht="15.75" customHeight="1">
      <c r="B8" s="313" t="s">
        <v>560</v>
      </c>
      <c r="E8" s="284" t="s">
        <v>562</v>
      </c>
      <c r="F8" s="258">
        <f>SUM(F2:F6)</f>
        <v>502.29999999999995</v>
      </c>
    </row>
    <row r="9" spans="1:10" ht="15.75" customHeight="1">
      <c r="B9" s="313" t="s">
        <v>564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436</v>
      </c>
      <c r="B2" s="322" t="s">
        <v>567</v>
      </c>
      <c r="D2" s="248">
        <v>6</v>
      </c>
      <c r="E2" s="248" t="s">
        <v>568</v>
      </c>
      <c r="F2" s="323">
        <v>89.35</v>
      </c>
      <c r="G2" s="251">
        <f>D2*F2</f>
        <v>536.09999999999991</v>
      </c>
      <c r="H2" s="249"/>
      <c r="I2" s="248" t="s">
        <v>214</v>
      </c>
      <c r="J2" s="249"/>
      <c r="K2" s="249"/>
    </row>
    <row r="3" spans="1:11" ht="15.75" customHeight="1">
      <c r="A3" s="272" t="s">
        <v>436</v>
      </c>
      <c r="B3" s="324" t="s">
        <v>569</v>
      </c>
      <c r="D3" s="248">
        <v>1</v>
      </c>
      <c r="E3" s="248"/>
      <c r="F3" s="323">
        <v>105</v>
      </c>
      <c r="G3" s="251">
        <f>F3</f>
        <v>105</v>
      </c>
      <c r="H3" s="249"/>
      <c r="I3" s="248" t="s">
        <v>214</v>
      </c>
      <c r="J3" s="249"/>
      <c r="K3" s="249"/>
    </row>
    <row r="4" spans="1:11" ht="15.75" customHeight="1">
      <c r="A4" s="249"/>
      <c r="B4" s="324" t="s">
        <v>570</v>
      </c>
      <c r="D4" s="258"/>
      <c r="E4" s="258"/>
      <c r="F4" s="325">
        <v>30</v>
      </c>
      <c r="G4" s="323">
        <v>30</v>
      </c>
      <c r="H4" s="249"/>
      <c r="I4" s="248" t="s">
        <v>214</v>
      </c>
      <c r="J4" s="249"/>
      <c r="K4" s="249"/>
    </row>
    <row r="5" spans="1:11" ht="15.75" customHeight="1">
      <c r="A5" s="249"/>
      <c r="B5" s="249"/>
      <c r="C5" s="249"/>
      <c r="D5" s="249"/>
      <c r="E5" s="249"/>
      <c r="F5" s="264" t="s">
        <v>506</v>
      </c>
      <c r="G5" s="329">
        <f>SUM(G2:G4)</f>
        <v>671.09999999999991</v>
      </c>
      <c r="H5" s="330">
        <f>1.2*SUM(G2:G4)</f>
        <v>805.31999999999982</v>
      </c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>
      <c r="A2" s="448" t="s">
        <v>457</v>
      </c>
      <c r="B2" s="326" t="s">
        <v>571</v>
      </c>
      <c r="C2" s="327" t="s">
        <v>572</v>
      </c>
      <c r="D2" s="328">
        <v>1</v>
      </c>
      <c r="E2" s="328">
        <v>0</v>
      </c>
      <c r="F2" s="92">
        <v>30.83</v>
      </c>
      <c r="G2" s="92">
        <v>30.83</v>
      </c>
      <c r="H2" s="272">
        <v>37</v>
      </c>
      <c r="I2" s="272" t="s">
        <v>266</v>
      </c>
      <c r="J2" s="272" t="s">
        <v>573</v>
      </c>
      <c r="K2" s="285" t="s">
        <v>522</v>
      </c>
    </row>
    <row r="3" spans="1:11">
      <c r="A3" s="447"/>
      <c r="B3" s="326" t="s">
        <v>574</v>
      </c>
      <c r="C3" s="327">
        <v>121703</v>
      </c>
      <c r="D3" s="326">
        <v>1</v>
      </c>
      <c r="E3" s="326"/>
      <c r="F3" s="92">
        <v>832.5</v>
      </c>
      <c r="G3" s="92">
        <v>832.5</v>
      </c>
      <c r="H3" s="272">
        <v>999</v>
      </c>
      <c r="I3" s="272" t="s">
        <v>266</v>
      </c>
      <c r="J3" s="272" t="s">
        <v>575</v>
      </c>
      <c r="K3" s="285" t="s">
        <v>522</v>
      </c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mergeCells count="1">
    <mergeCell ref="A2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8" t="s">
        <v>436</v>
      </c>
      <c r="B2" s="202" t="s">
        <v>576</v>
      </c>
      <c r="C2" s="248" t="s">
        <v>577</v>
      </c>
      <c r="D2" s="248">
        <v>2</v>
      </c>
      <c r="E2" s="248">
        <v>1</v>
      </c>
      <c r="F2" s="248" t="s">
        <v>578</v>
      </c>
      <c r="G2" s="248" t="e">
        <f>F2*(E2+D2)</f>
        <v>#VALUE!</v>
      </c>
      <c r="H2" s="248" t="s">
        <v>577</v>
      </c>
      <c r="I2" s="202" t="s">
        <v>577</v>
      </c>
      <c r="J2" s="248" t="s">
        <v>579</v>
      </c>
      <c r="K2" s="332" t="str">
        <f>HYPERLINK("https://www.namrick.co.uk/acatalog/U.N.F._Nuts.html","namrick")</f>
        <v>namrick</v>
      </c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  <row r="17" spans="4:4" ht="15.75" customHeight="1">
      <c r="D17" s="20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358</v>
      </c>
      <c r="B2" s="272" t="s">
        <v>580</v>
      </c>
      <c r="C2" s="249"/>
      <c r="D2" s="272">
        <v>1</v>
      </c>
      <c r="E2" s="249"/>
      <c r="F2" s="272"/>
      <c r="G2" s="249"/>
      <c r="H2" s="331">
        <v>17.5</v>
      </c>
      <c r="I2" s="272" t="s">
        <v>360</v>
      </c>
      <c r="J2" s="272" t="s">
        <v>581</v>
      </c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72" t="s">
        <v>360</v>
      </c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72" t="s">
        <v>360</v>
      </c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436</v>
      </c>
      <c r="B2" s="272" t="s">
        <v>582</v>
      </c>
      <c r="C2" s="249"/>
      <c r="D2" s="272">
        <v>4</v>
      </c>
      <c r="E2" s="272">
        <v>0</v>
      </c>
      <c r="F2" s="272">
        <v>704.17</v>
      </c>
      <c r="G2" s="249">
        <f>F2*4</f>
        <v>2816.68</v>
      </c>
      <c r="H2" s="249">
        <f t="shared" ref="H2:H4" si="0">G2</f>
        <v>2816.68</v>
      </c>
      <c r="I2" s="334" t="s">
        <v>221</v>
      </c>
      <c r="J2" s="249"/>
      <c r="K2" s="249"/>
    </row>
    <row r="3" spans="1:11" ht="15.75" customHeight="1">
      <c r="A3" s="272" t="s">
        <v>436</v>
      </c>
      <c r="B3" s="272" t="s">
        <v>583</v>
      </c>
      <c r="C3" s="249"/>
      <c r="D3" s="272">
        <v>4</v>
      </c>
      <c r="E3" s="272">
        <v>0</v>
      </c>
      <c r="F3" s="272">
        <v>39</v>
      </c>
      <c r="G3" s="272">
        <f t="shared" ref="G3:G4" si="1">F3*D3</f>
        <v>156</v>
      </c>
      <c r="H3" s="249">
        <f t="shared" si="0"/>
        <v>156</v>
      </c>
      <c r="I3" s="334" t="s">
        <v>221</v>
      </c>
      <c r="J3" s="249"/>
      <c r="K3" s="249"/>
    </row>
    <row r="4" spans="1:11" ht="15.75" customHeight="1">
      <c r="A4" s="272" t="s">
        <v>436</v>
      </c>
      <c r="B4" s="272" t="s">
        <v>584</v>
      </c>
      <c r="C4" s="249"/>
      <c r="D4" s="272">
        <v>4</v>
      </c>
      <c r="E4" s="272">
        <v>0</v>
      </c>
      <c r="F4" s="272">
        <v>39</v>
      </c>
      <c r="G4" s="272">
        <f t="shared" si="1"/>
        <v>156</v>
      </c>
      <c r="H4" s="249">
        <f t="shared" si="0"/>
        <v>156</v>
      </c>
      <c r="I4" s="334" t="s">
        <v>221</v>
      </c>
      <c r="J4" s="249"/>
      <c r="K4" s="249"/>
    </row>
    <row r="5" spans="1:11" ht="15.75" customHeight="1">
      <c r="A5" s="272" t="s">
        <v>436</v>
      </c>
      <c r="B5" s="272" t="s">
        <v>585</v>
      </c>
      <c r="C5" s="249"/>
      <c r="D5" s="272">
        <v>4</v>
      </c>
      <c r="E5" s="272">
        <v>0</v>
      </c>
      <c r="F5" s="272">
        <v>39</v>
      </c>
      <c r="G5" s="272" t="s">
        <v>270</v>
      </c>
      <c r="H5" s="272" t="s">
        <v>270</v>
      </c>
      <c r="I5" s="334" t="s">
        <v>221</v>
      </c>
      <c r="J5" s="249"/>
      <c r="K5" s="249"/>
    </row>
    <row r="6" spans="1:11" ht="15.75" customHeight="1">
      <c r="A6" s="249"/>
      <c r="B6" s="272" t="s">
        <v>570</v>
      </c>
      <c r="C6" s="249"/>
      <c r="D6" s="249"/>
      <c r="E6" s="249"/>
      <c r="F6" s="272">
        <v>11.63</v>
      </c>
      <c r="G6" s="272">
        <v>11.63</v>
      </c>
      <c r="H6" s="272">
        <v>11.63</v>
      </c>
      <c r="I6" s="272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72"/>
      <c r="F8" s="264" t="s">
        <v>446</v>
      </c>
      <c r="G8" s="249">
        <f>G2+G3+G4+G6</f>
        <v>3140.31</v>
      </c>
      <c r="H8" s="249">
        <f>G8+628.06</f>
        <v>3768.37</v>
      </c>
      <c r="I8" s="249"/>
      <c r="J8" s="249"/>
      <c r="K8" s="2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58"/>
  <sheetViews>
    <sheetView showGridLines="0" zoomScale="70" zoomScaleNormal="70" workbookViewId="0">
      <pane ySplit="2" topLeftCell="A54" activePane="bottomLeft" state="frozen"/>
      <selection pane="bottomLeft" activeCell="B4" sqref="B4"/>
    </sheetView>
  </sheetViews>
  <sheetFormatPr baseColWidth="10" defaultColWidth="14.44140625" defaultRowHeight="15.75" customHeight="1"/>
  <cols>
    <col min="1" max="1" width="25" customWidth="1"/>
    <col min="2" max="2" width="13.6640625" customWidth="1"/>
    <col min="3" max="3" width="10" customWidth="1"/>
    <col min="4" max="4" width="19.5546875" customWidth="1"/>
    <col min="5" max="5" width="7.33203125" customWidth="1"/>
    <col min="6" max="6" width="17.6640625" customWidth="1"/>
    <col min="7" max="7" width="15.109375" customWidth="1"/>
    <col min="10" max="10" width="17.44140625" customWidth="1"/>
    <col min="11" max="11" width="13" customWidth="1"/>
    <col min="12" max="12" width="21.44140625" customWidth="1"/>
    <col min="14" max="14" width="27" customWidth="1"/>
    <col min="15" max="15" width="9.5546875" customWidth="1"/>
    <col min="16" max="16" width="11.88671875" customWidth="1"/>
  </cols>
  <sheetData>
    <row r="1" spans="1:33" ht="15.6">
      <c r="A1" s="439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1"/>
      <c r="O1" s="33"/>
      <c r="P1" s="34">
        <v>43565</v>
      </c>
      <c r="Q1" s="35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41.4">
      <c r="A2" s="40" t="s">
        <v>195</v>
      </c>
      <c r="B2" s="41" t="s">
        <v>196</v>
      </c>
      <c r="C2" s="41" t="s">
        <v>197</v>
      </c>
      <c r="D2" s="41" t="s">
        <v>198</v>
      </c>
      <c r="E2" s="41" t="s">
        <v>199</v>
      </c>
      <c r="F2" s="42" t="s">
        <v>200</v>
      </c>
      <c r="G2" s="41" t="s">
        <v>201</v>
      </c>
      <c r="H2" s="41" t="s">
        <v>202</v>
      </c>
      <c r="I2" s="42" t="s">
        <v>203</v>
      </c>
      <c r="J2" s="41" t="s">
        <v>204</v>
      </c>
      <c r="K2" s="42" t="s">
        <v>205</v>
      </c>
      <c r="L2" s="42" t="s">
        <v>206</v>
      </c>
      <c r="M2" s="42" t="s">
        <v>207</v>
      </c>
      <c r="N2" s="43" t="s">
        <v>208</v>
      </c>
      <c r="O2" s="44" t="s">
        <v>209</v>
      </c>
      <c r="P2" s="45" t="s">
        <v>210</v>
      </c>
      <c r="Q2" s="46" t="s">
        <v>211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3" ht="39.6">
      <c r="A3" s="436" t="s">
        <v>212</v>
      </c>
      <c r="B3" s="47">
        <v>43474</v>
      </c>
      <c r="C3" s="48">
        <v>1</v>
      </c>
      <c r="D3" s="49" t="s">
        <v>213</v>
      </c>
      <c r="E3" s="50" t="s">
        <v>214</v>
      </c>
      <c r="F3" s="49" t="s">
        <v>215</v>
      </c>
      <c r="G3" s="51"/>
      <c r="H3" s="52">
        <v>671.1</v>
      </c>
      <c r="I3" s="52">
        <v>805.32</v>
      </c>
      <c r="J3" s="49"/>
      <c r="K3" s="53">
        <v>43476</v>
      </c>
      <c r="L3" s="54" t="s">
        <v>216</v>
      </c>
      <c r="M3" s="49" t="s">
        <v>217</v>
      </c>
      <c r="N3" s="55" t="s">
        <v>218</v>
      </c>
      <c r="O3" s="56" t="str">
        <f ca="1">IF(OR(L3 = "Livré",L3 = "Commandé",L3="Devis accepté", L3 ="BDL reçu"),"Ok",(NOW()-K3))</f>
        <v>Ok</v>
      </c>
      <c r="P3" s="57" t="str">
        <f ca="1">IF(OR(L3="Livré",L3="Commandé",L3="BDL reçu"),"Ok",IF(J3="",$P$1-NOW()-7*$J$76,$P$1-NOW()-J3*7))</f>
        <v>Ok</v>
      </c>
      <c r="Q3" s="58" t="str">
        <f ca="1">IF(NOT(OR(L3 = "Livré",L3 = "BDL reçu")),_xludf.days(NOW(),K3),"ok")</f>
        <v>ok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13.8">
      <c r="A4" s="431"/>
      <c r="B4" s="59"/>
      <c r="C4" s="60">
        <v>1</v>
      </c>
      <c r="D4" s="61"/>
      <c r="E4" s="62" t="s">
        <v>219</v>
      </c>
      <c r="F4" s="61" t="s">
        <v>122</v>
      </c>
      <c r="G4" s="63"/>
      <c r="H4" s="63"/>
      <c r="I4" s="64"/>
      <c r="J4" s="65"/>
      <c r="K4" s="61"/>
      <c r="L4" s="66"/>
      <c r="M4" s="65"/>
      <c r="N4" s="67" t="s">
        <v>220</v>
      </c>
      <c r="O4" s="68"/>
      <c r="P4" s="69"/>
      <c r="Q4" s="58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13.8">
      <c r="A5" s="431"/>
      <c r="B5" s="59">
        <v>43480</v>
      </c>
      <c r="C5" s="60">
        <v>1</v>
      </c>
      <c r="D5" s="61" t="s">
        <v>146</v>
      </c>
      <c r="E5" s="70" t="s">
        <v>221</v>
      </c>
      <c r="F5" s="61" t="s">
        <v>222</v>
      </c>
      <c r="G5" s="63">
        <f>1.2*156</f>
        <v>187.2</v>
      </c>
      <c r="H5" s="63">
        <v>3140.31</v>
      </c>
      <c r="I5" s="64">
        <f>1.2*H5</f>
        <v>3768.3719999999998</v>
      </c>
      <c r="J5" s="65"/>
      <c r="K5" s="71">
        <v>43480</v>
      </c>
      <c r="L5" s="66" t="s">
        <v>216</v>
      </c>
      <c r="M5" s="61" t="s">
        <v>223</v>
      </c>
      <c r="N5" s="67" t="s">
        <v>224</v>
      </c>
      <c r="O5" s="68" t="str">
        <f t="shared" ref="O5:O24" ca="1" si="0">IF(OR(L5 = "Livré",L5 = "Commandé",L5="Devis accepté", L5 ="BDL reçu"),"Ok",(NOW()-K5))</f>
        <v>Ok</v>
      </c>
      <c r="P5" s="69" t="str">
        <f t="shared" ref="P5:P24" ca="1" si="1">IF(OR(L5="Livré",L5="Commandé",L5="BDL reçu"),"Ok",IF(J5="",$P$1-NOW()-7*$J$76,$P$1-NOW()-J5*7))</f>
        <v>Ok</v>
      </c>
      <c r="Q5" s="58" t="str">
        <f t="shared" ref="Q5:Q24" ca="1" si="2">IF(NOT(OR(L5 = "Livré",L5 = "BDL reçu")),_xludf.days(NOW(),K5),"ok")</f>
        <v>ok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</row>
    <row r="6" spans="1:33" ht="13.8">
      <c r="A6" s="431"/>
      <c r="B6" s="72"/>
      <c r="C6" s="73">
        <v>1</v>
      </c>
      <c r="D6" s="74" t="s">
        <v>225</v>
      </c>
      <c r="E6" s="70" t="s">
        <v>221</v>
      </c>
      <c r="F6" s="74" t="s">
        <v>95</v>
      </c>
      <c r="G6" s="75"/>
      <c r="H6" s="75"/>
      <c r="I6" s="76">
        <v>50.48</v>
      </c>
      <c r="J6" s="77"/>
      <c r="K6" s="78">
        <v>43501</v>
      </c>
      <c r="L6" s="66" t="s">
        <v>216</v>
      </c>
      <c r="M6" s="77"/>
      <c r="N6" s="79"/>
      <c r="O6" s="68" t="str">
        <f t="shared" ca="1" si="0"/>
        <v>Ok</v>
      </c>
      <c r="P6" s="69" t="str">
        <f t="shared" ca="1" si="1"/>
        <v>Ok</v>
      </c>
      <c r="Q6" s="58" t="str">
        <f t="shared" ca="1" si="2"/>
        <v>ok</v>
      </c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 spans="1:33" ht="13.8">
      <c r="A7" s="431"/>
      <c r="B7" s="72"/>
      <c r="C7" s="73">
        <v>1</v>
      </c>
      <c r="D7" s="74" t="s">
        <v>226</v>
      </c>
      <c r="E7" s="70" t="s">
        <v>221</v>
      </c>
      <c r="F7" s="74" t="s">
        <v>95</v>
      </c>
      <c r="G7" s="75"/>
      <c r="H7" s="75"/>
      <c r="I7" s="76">
        <v>35.14</v>
      </c>
      <c r="J7" s="77"/>
      <c r="K7" s="78">
        <v>43501</v>
      </c>
      <c r="L7" s="66" t="s">
        <v>216</v>
      </c>
      <c r="M7" s="77"/>
      <c r="N7" s="79"/>
      <c r="O7" s="68" t="str">
        <f t="shared" ca="1" si="0"/>
        <v>Ok</v>
      </c>
      <c r="P7" s="69" t="str">
        <f t="shared" ca="1" si="1"/>
        <v>Ok</v>
      </c>
      <c r="Q7" s="58" t="str">
        <f t="shared" ca="1" si="2"/>
        <v>ok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ht="15.75" customHeight="1">
      <c r="A8" s="431"/>
      <c r="B8" s="72"/>
      <c r="C8" s="73">
        <v>1</v>
      </c>
      <c r="D8" s="74" t="s">
        <v>227</v>
      </c>
      <c r="E8" s="80" t="s">
        <v>228</v>
      </c>
      <c r="F8" s="74" t="s">
        <v>60</v>
      </c>
      <c r="G8" s="76">
        <v>335</v>
      </c>
      <c r="H8" s="76">
        <v>666.2</v>
      </c>
      <c r="I8" s="76">
        <v>799.44</v>
      </c>
      <c r="J8" s="77"/>
      <c r="K8" s="78">
        <v>43487</v>
      </c>
      <c r="L8" s="66" t="s">
        <v>216</v>
      </c>
      <c r="M8" s="77"/>
      <c r="N8" s="81" t="s">
        <v>229</v>
      </c>
      <c r="O8" s="68" t="str">
        <f t="shared" ca="1" si="0"/>
        <v>Ok</v>
      </c>
      <c r="P8" s="69" t="str">
        <f t="shared" ca="1" si="1"/>
        <v>Ok</v>
      </c>
      <c r="Q8" s="58" t="str">
        <f t="shared" ca="1" si="2"/>
        <v>ok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ht="13.8">
      <c r="A9" s="431"/>
      <c r="B9" s="82"/>
      <c r="C9" s="60">
        <v>1</v>
      </c>
      <c r="D9" s="61" t="s">
        <v>230</v>
      </c>
      <c r="E9" s="70" t="s">
        <v>221</v>
      </c>
      <c r="F9" s="61" t="s">
        <v>31</v>
      </c>
      <c r="G9" s="64"/>
      <c r="H9" s="64"/>
      <c r="I9" s="64"/>
      <c r="J9" s="65"/>
      <c r="K9" s="65"/>
      <c r="L9" s="66"/>
      <c r="M9" s="65"/>
      <c r="N9" s="67" t="s">
        <v>231</v>
      </c>
      <c r="O9" s="68">
        <f t="shared" ca="1" si="0"/>
        <v>43637.789408564815</v>
      </c>
      <c r="P9" s="69">
        <f t="shared" ca="1" si="1"/>
        <v>-86.789408564814948</v>
      </c>
      <c r="Q9" s="58" t="e">
        <f t="shared" ca="1" si="2"/>
        <v>#NAME?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spans="1:33" ht="13.8">
      <c r="A10" s="431"/>
      <c r="B10" s="83"/>
      <c r="C10" s="73">
        <v>0</v>
      </c>
      <c r="D10" s="74" t="s">
        <v>232</v>
      </c>
      <c r="E10" s="84" t="s">
        <v>214</v>
      </c>
      <c r="F10" s="85" t="s">
        <v>233</v>
      </c>
      <c r="G10" s="75"/>
      <c r="H10" s="76">
        <f>'RS Component'!G10</f>
        <v>22.97</v>
      </c>
      <c r="I10" s="76">
        <f>H10*1.2</f>
        <v>27.563999999999997</v>
      </c>
      <c r="J10" s="74">
        <v>1</v>
      </c>
      <c r="K10" s="74"/>
      <c r="L10" s="66" t="s">
        <v>216</v>
      </c>
      <c r="M10" s="77"/>
      <c r="N10" s="86"/>
      <c r="O10" s="68" t="str">
        <f t="shared" ca="1" si="0"/>
        <v>Ok</v>
      </c>
      <c r="P10" s="69" t="str">
        <f t="shared" ca="1" si="1"/>
        <v>Ok</v>
      </c>
      <c r="Q10" s="58" t="str">
        <f t="shared" ca="1" si="2"/>
        <v>ok</v>
      </c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 ht="13.8">
      <c r="A11" s="431"/>
      <c r="B11" s="82"/>
      <c r="C11" s="60">
        <v>1</v>
      </c>
      <c r="D11" s="61"/>
      <c r="E11" s="70" t="s">
        <v>214</v>
      </c>
      <c r="F11" s="61" t="s">
        <v>72</v>
      </c>
      <c r="G11" s="64"/>
      <c r="H11" s="64"/>
      <c r="I11" s="63">
        <f>1089.98*1.2+8.4</f>
        <v>1316.376</v>
      </c>
      <c r="J11" s="65"/>
      <c r="K11" s="71">
        <v>43515</v>
      </c>
      <c r="L11" s="66" t="s">
        <v>216</v>
      </c>
      <c r="M11" s="65"/>
      <c r="N11" s="87">
        <v>1089.98</v>
      </c>
      <c r="O11" s="68" t="str">
        <f t="shared" ca="1" si="0"/>
        <v>Ok</v>
      </c>
      <c r="P11" s="69" t="str">
        <f t="shared" ca="1" si="1"/>
        <v>Ok</v>
      </c>
      <c r="Q11" s="58" t="str">
        <f t="shared" ca="1" si="2"/>
        <v>ok</v>
      </c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ht="13.8">
      <c r="A12" s="431"/>
      <c r="B12" s="82"/>
      <c r="C12" s="60">
        <v>1</v>
      </c>
      <c r="D12" s="61" t="s">
        <v>234</v>
      </c>
      <c r="E12" s="70" t="s">
        <v>235</v>
      </c>
      <c r="F12" s="61" t="s">
        <v>236</v>
      </c>
      <c r="G12" s="63" t="s">
        <v>237</v>
      </c>
      <c r="H12" s="64"/>
      <c r="I12" s="63">
        <v>0</v>
      </c>
      <c r="J12" s="65"/>
      <c r="K12" s="65"/>
      <c r="L12" s="66"/>
      <c r="M12" s="65"/>
      <c r="N12" s="61" t="s">
        <v>238</v>
      </c>
      <c r="O12" s="68">
        <f t="shared" ca="1" si="0"/>
        <v>43637.789408564815</v>
      </c>
      <c r="P12" s="69">
        <f t="shared" ca="1" si="1"/>
        <v>-86.789408564814948</v>
      </c>
      <c r="Q12" s="58" t="e">
        <f t="shared" ca="1" si="2"/>
        <v>#NAME?</v>
      </c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26.4">
      <c r="A13" s="431"/>
      <c r="B13" s="82"/>
      <c r="C13" s="60">
        <v>1</v>
      </c>
      <c r="D13" s="61" t="s">
        <v>239</v>
      </c>
      <c r="E13" s="70" t="s">
        <v>214</v>
      </c>
      <c r="F13" s="61" t="s">
        <v>240</v>
      </c>
      <c r="G13" s="63">
        <v>0</v>
      </c>
      <c r="H13" s="64"/>
      <c r="I13" s="63"/>
      <c r="J13" s="65"/>
      <c r="K13" s="65"/>
      <c r="L13" s="66"/>
      <c r="M13" s="65"/>
      <c r="N13" s="88" t="s">
        <v>241</v>
      </c>
      <c r="O13" s="68">
        <f t="shared" ca="1" si="0"/>
        <v>43637.789408564815</v>
      </c>
      <c r="P13" s="69">
        <f t="shared" ca="1" si="1"/>
        <v>-86.789408564814948</v>
      </c>
      <c r="Q13" s="58" t="e">
        <f t="shared" ca="1" si="2"/>
        <v>#NAME?</v>
      </c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39.6">
      <c r="A14" s="431"/>
      <c r="B14" s="82"/>
      <c r="C14" s="60">
        <v>1</v>
      </c>
      <c r="D14" s="61" t="s">
        <v>242</v>
      </c>
      <c r="E14" s="62" t="s">
        <v>235</v>
      </c>
      <c r="F14" s="61" t="s">
        <v>243</v>
      </c>
      <c r="G14" s="64"/>
      <c r="H14" s="64"/>
      <c r="I14" s="63">
        <f>1048.08+15.16</f>
        <v>1063.24</v>
      </c>
      <c r="J14" s="65"/>
      <c r="K14" s="71">
        <v>43551</v>
      </c>
      <c r="L14" s="66" t="s">
        <v>216</v>
      </c>
      <c r="M14" s="65"/>
      <c r="N14" s="89" t="s">
        <v>244</v>
      </c>
      <c r="O14" s="68" t="str">
        <f t="shared" ca="1" si="0"/>
        <v>Ok</v>
      </c>
      <c r="P14" s="69" t="str">
        <f t="shared" ca="1" si="1"/>
        <v>Ok</v>
      </c>
      <c r="Q14" s="58" t="str">
        <f t="shared" ca="1" si="2"/>
        <v>ok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3.8">
      <c r="A15" s="431"/>
      <c r="B15" s="90"/>
      <c r="C15" s="91">
        <v>1</v>
      </c>
      <c r="D15" s="92" t="s">
        <v>245</v>
      </c>
      <c r="E15" s="62" t="s">
        <v>235</v>
      </c>
      <c r="F15" s="61" t="s">
        <v>93</v>
      </c>
      <c r="G15" s="93">
        <v>0</v>
      </c>
      <c r="H15" s="94"/>
      <c r="I15" s="93">
        <v>216</v>
      </c>
      <c r="J15" s="95"/>
      <c r="K15" s="96">
        <v>43551</v>
      </c>
      <c r="L15" s="97" t="s">
        <v>216</v>
      </c>
      <c r="M15" s="95"/>
      <c r="N15" s="89"/>
      <c r="O15" s="68" t="str">
        <f t="shared" ca="1" si="0"/>
        <v>Ok</v>
      </c>
      <c r="P15" s="69" t="str">
        <f t="shared" ca="1" si="1"/>
        <v>Ok</v>
      </c>
      <c r="Q15" s="58" t="str">
        <f t="shared" ca="1" si="2"/>
        <v>ok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 ht="13.8">
      <c r="A16" s="431"/>
      <c r="B16" s="82"/>
      <c r="C16" s="60">
        <v>1</v>
      </c>
      <c r="D16" s="92" t="s">
        <v>246</v>
      </c>
      <c r="E16" s="62" t="s">
        <v>221</v>
      </c>
      <c r="F16" s="61" t="s">
        <v>95</v>
      </c>
      <c r="G16" s="93">
        <v>0</v>
      </c>
      <c r="H16" s="93">
        <v>44.24</v>
      </c>
      <c r="I16" s="93">
        <v>53.09</v>
      </c>
      <c r="J16" s="95"/>
      <c r="K16" s="96">
        <v>43563</v>
      </c>
      <c r="L16" s="97" t="s">
        <v>216</v>
      </c>
      <c r="M16" s="95"/>
      <c r="N16" s="89"/>
      <c r="O16" s="68" t="str">
        <f t="shared" ca="1" si="0"/>
        <v>Ok</v>
      </c>
      <c r="P16" s="69" t="str">
        <f t="shared" ca="1" si="1"/>
        <v>Ok</v>
      </c>
      <c r="Q16" s="58" t="str">
        <f t="shared" ca="1" si="2"/>
        <v>ok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13.8">
      <c r="A17" s="431"/>
      <c r="B17" s="82"/>
      <c r="C17" s="60">
        <v>1</v>
      </c>
      <c r="D17" s="92" t="s">
        <v>246</v>
      </c>
      <c r="E17" s="62" t="s">
        <v>221</v>
      </c>
      <c r="F17" s="98" t="s">
        <v>226</v>
      </c>
      <c r="G17" s="93">
        <v>0</v>
      </c>
      <c r="H17" s="94"/>
      <c r="I17" s="93">
        <v>52.61</v>
      </c>
      <c r="J17" s="95"/>
      <c r="K17" s="96">
        <v>43566</v>
      </c>
      <c r="L17" s="97" t="s">
        <v>216</v>
      </c>
      <c r="M17" s="95"/>
      <c r="N17" s="89"/>
      <c r="O17" s="68" t="str">
        <f t="shared" ca="1" si="0"/>
        <v>Ok</v>
      </c>
      <c r="P17" s="69" t="str">
        <f t="shared" ca="1" si="1"/>
        <v>Ok</v>
      </c>
      <c r="Q17" s="58" t="str">
        <f t="shared" ca="1" si="2"/>
        <v>ok</v>
      </c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ht="13.8">
      <c r="A18" s="432"/>
      <c r="B18" s="99"/>
      <c r="C18" s="100">
        <v>1</v>
      </c>
      <c r="D18" s="101" t="s">
        <v>246</v>
      </c>
      <c r="E18" s="102" t="s">
        <v>247</v>
      </c>
      <c r="F18" s="103" t="s">
        <v>248</v>
      </c>
      <c r="G18" s="104">
        <v>0</v>
      </c>
      <c r="H18" s="105"/>
      <c r="I18" s="104">
        <v>24.86</v>
      </c>
      <c r="J18" s="106"/>
      <c r="K18" s="107">
        <v>43571</v>
      </c>
      <c r="L18" s="108" t="s">
        <v>216</v>
      </c>
      <c r="M18" s="106"/>
      <c r="N18" s="109"/>
      <c r="O18" s="68" t="str">
        <f t="shared" ca="1" si="0"/>
        <v>Ok</v>
      </c>
      <c r="P18" s="69" t="str">
        <f t="shared" ca="1" si="1"/>
        <v>Ok</v>
      </c>
      <c r="Q18" s="58" t="str">
        <f t="shared" ca="1" si="2"/>
        <v>ok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52.8">
      <c r="A19" s="430" t="s">
        <v>249</v>
      </c>
      <c r="B19" s="110"/>
      <c r="C19" s="111">
        <v>1</v>
      </c>
      <c r="D19" s="112" t="s">
        <v>250</v>
      </c>
      <c r="E19" s="113" t="s">
        <v>251</v>
      </c>
      <c r="F19" s="112" t="s">
        <v>168</v>
      </c>
      <c r="G19" s="114"/>
      <c r="H19" s="115">
        <v>435</v>
      </c>
      <c r="I19" s="115">
        <f>438+84</f>
        <v>522</v>
      </c>
      <c r="J19" s="112">
        <v>4</v>
      </c>
      <c r="K19" s="116">
        <v>43507</v>
      </c>
      <c r="L19" s="117" t="s">
        <v>216</v>
      </c>
      <c r="M19" s="118"/>
      <c r="N19" s="119" t="s">
        <v>252</v>
      </c>
      <c r="O19" s="68" t="str">
        <f t="shared" ca="1" si="0"/>
        <v>Ok</v>
      </c>
      <c r="P19" s="69" t="str">
        <f t="shared" ca="1" si="1"/>
        <v>Ok</v>
      </c>
      <c r="Q19" s="58" t="str">
        <f t="shared" ca="1" si="2"/>
        <v>ok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ht="13.8">
      <c r="A20" s="431"/>
      <c r="B20" s="72"/>
      <c r="C20" s="73">
        <v>1</v>
      </c>
      <c r="D20" s="74" t="s">
        <v>253</v>
      </c>
      <c r="E20" s="80" t="s">
        <v>254</v>
      </c>
      <c r="F20" s="74" t="s">
        <v>255</v>
      </c>
      <c r="G20" s="76">
        <v>400</v>
      </c>
      <c r="H20" s="75"/>
      <c r="I20" s="63">
        <v>360</v>
      </c>
      <c r="J20" s="77"/>
      <c r="K20" s="77"/>
      <c r="L20" s="66" t="s">
        <v>216</v>
      </c>
      <c r="M20" s="77"/>
      <c r="N20" s="79"/>
      <c r="O20" s="68" t="str">
        <f t="shared" ca="1" si="0"/>
        <v>Ok</v>
      </c>
      <c r="P20" s="69" t="str">
        <f t="shared" ca="1" si="1"/>
        <v>Ok</v>
      </c>
      <c r="Q20" s="58" t="str">
        <f t="shared" ca="1" si="2"/>
        <v>ok</v>
      </c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spans="1:33" ht="26.4">
      <c r="A21" s="431"/>
      <c r="B21" s="82"/>
      <c r="C21" s="60">
        <v>0</v>
      </c>
      <c r="D21" s="61" t="s">
        <v>256</v>
      </c>
      <c r="E21" s="70" t="s">
        <v>254</v>
      </c>
      <c r="F21" s="61" t="s">
        <v>257</v>
      </c>
      <c r="G21" s="64"/>
      <c r="H21" s="64"/>
      <c r="I21" s="63">
        <v>0</v>
      </c>
      <c r="J21" s="61">
        <v>1</v>
      </c>
      <c r="K21" s="61" t="s">
        <v>258</v>
      </c>
      <c r="L21" s="66" t="s">
        <v>216</v>
      </c>
      <c r="M21" s="65"/>
      <c r="N21" s="67" t="s">
        <v>259</v>
      </c>
      <c r="O21" s="68" t="str">
        <f t="shared" ca="1" si="0"/>
        <v>Ok</v>
      </c>
      <c r="P21" s="69" t="str">
        <f t="shared" ca="1" si="1"/>
        <v>Ok</v>
      </c>
      <c r="Q21" s="58" t="str">
        <f t="shared" ca="1" si="2"/>
        <v>ok</v>
      </c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spans="1:33" ht="26.4">
      <c r="A22" s="431"/>
      <c r="B22" s="90"/>
      <c r="C22" s="91">
        <v>0</v>
      </c>
      <c r="D22" s="98" t="s">
        <v>260</v>
      </c>
      <c r="E22" s="120" t="s">
        <v>254</v>
      </c>
      <c r="F22" s="98" t="s">
        <v>257</v>
      </c>
      <c r="G22" s="94"/>
      <c r="H22" s="94"/>
      <c r="I22" s="121">
        <v>223.2</v>
      </c>
      <c r="J22" s="98">
        <v>1</v>
      </c>
      <c r="K22" s="98" t="s">
        <v>258</v>
      </c>
      <c r="L22" s="97" t="s">
        <v>216</v>
      </c>
      <c r="M22" s="95"/>
      <c r="N22" s="122" t="s">
        <v>261</v>
      </c>
      <c r="O22" s="68" t="str">
        <f t="shared" ca="1" si="0"/>
        <v>Ok</v>
      </c>
      <c r="P22" s="69" t="str">
        <f t="shared" ca="1" si="1"/>
        <v>Ok</v>
      </c>
      <c r="Q22" s="58" t="str">
        <f t="shared" ca="1" si="2"/>
        <v>ok</v>
      </c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27" customHeight="1">
      <c r="A23" s="432"/>
      <c r="B23" s="99"/>
      <c r="C23" s="123">
        <v>1</v>
      </c>
      <c r="D23" s="103" t="s">
        <v>262</v>
      </c>
      <c r="E23" s="124" t="s">
        <v>254</v>
      </c>
      <c r="F23" s="103" t="s">
        <v>257</v>
      </c>
      <c r="G23" s="105"/>
      <c r="H23" s="105"/>
      <c r="I23" s="125">
        <v>176.4</v>
      </c>
      <c r="J23" s="103">
        <v>1</v>
      </c>
      <c r="K23" s="107">
        <v>43503</v>
      </c>
      <c r="L23" s="108" t="s">
        <v>216</v>
      </c>
      <c r="M23" s="106"/>
      <c r="N23" s="126" t="s">
        <v>263</v>
      </c>
      <c r="O23" s="68" t="str">
        <f t="shared" ca="1" si="0"/>
        <v>Ok</v>
      </c>
      <c r="P23" s="69" t="str">
        <f t="shared" ca="1" si="1"/>
        <v>Ok</v>
      </c>
      <c r="Q23" s="58" t="str">
        <f t="shared" ca="1" si="2"/>
        <v>ok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3.8">
      <c r="A24" s="442" t="s">
        <v>264</v>
      </c>
      <c r="B24" s="127">
        <v>43475</v>
      </c>
      <c r="C24" s="128">
        <v>1</v>
      </c>
      <c r="D24" s="128" t="s">
        <v>265</v>
      </c>
      <c r="E24" s="129" t="s">
        <v>266</v>
      </c>
      <c r="F24" s="128" t="s">
        <v>118</v>
      </c>
      <c r="G24" s="130"/>
      <c r="H24" s="131">
        <v>237.67</v>
      </c>
      <c r="I24" s="131">
        <v>282.8</v>
      </c>
      <c r="J24" s="128">
        <v>12</v>
      </c>
      <c r="K24" s="132">
        <v>43475</v>
      </c>
      <c r="L24" s="133" t="s">
        <v>216</v>
      </c>
      <c r="M24" s="134"/>
      <c r="N24" s="135"/>
      <c r="O24" s="68" t="str">
        <f t="shared" ca="1" si="0"/>
        <v>Ok</v>
      </c>
      <c r="P24" s="69" t="str">
        <f t="shared" ca="1" si="1"/>
        <v>Ok</v>
      </c>
      <c r="Q24" s="58" t="str">
        <f t="shared" ca="1" si="2"/>
        <v>ok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26.4">
      <c r="A25" s="431"/>
      <c r="B25" s="111" t="s">
        <v>267</v>
      </c>
      <c r="C25" s="111">
        <v>0</v>
      </c>
      <c r="D25" s="128" t="s">
        <v>268</v>
      </c>
      <c r="E25" s="129" t="s">
        <v>266</v>
      </c>
      <c r="F25" s="111" t="s">
        <v>269</v>
      </c>
      <c r="G25" s="136" t="s">
        <v>270</v>
      </c>
      <c r="H25" s="136">
        <v>0</v>
      </c>
      <c r="I25" s="136">
        <v>0</v>
      </c>
      <c r="J25" s="111">
        <v>1</v>
      </c>
      <c r="K25" s="137"/>
      <c r="L25" s="133"/>
      <c r="M25" s="110"/>
      <c r="N25" s="138" t="s">
        <v>271</v>
      </c>
      <c r="O25" s="68"/>
      <c r="P25" s="69"/>
      <c r="Q25" s="58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26.4">
      <c r="A26" s="431"/>
      <c r="B26" s="139">
        <v>43487</v>
      </c>
      <c r="C26" s="60">
        <v>1</v>
      </c>
      <c r="D26" s="61" t="s">
        <v>272</v>
      </c>
      <c r="E26" s="80" t="s">
        <v>273</v>
      </c>
      <c r="F26" s="61" t="s">
        <v>274</v>
      </c>
      <c r="G26" s="63" t="s">
        <v>275</v>
      </c>
      <c r="H26" s="64"/>
      <c r="I26" s="63">
        <v>1550.56</v>
      </c>
      <c r="J26" s="61"/>
      <c r="K26" s="71">
        <v>43487</v>
      </c>
      <c r="L26" s="66" t="s">
        <v>216</v>
      </c>
      <c r="M26" s="65"/>
      <c r="N26" s="140" t="s">
        <v>276</v>
      </c>
      <c r="O26" s="68" t="str">
        <f t="shared" ref="O26:O34" ca="1" si="3">IF(OR(L26 = "Livré",L26 = "Commandé",L26="Devis accepté", L26 ="BDL reçu"),"Ok",(NOW()-K26))</f>
        <v>Ok</v>
      </c>
      <c r="P26" s="69" t="str">
        <f t="shared" ref="P26:P34" ca="1" si="4">IF(OR(L26="Livré",L26="Commandé",L26="BDL reçu"),"Ok",IF(J26="",$P$1-NOW()-7*$J$76,$P$1-NOW()-J26*7))</f>
        <v>Ok</v>
      </c>
      <c r="Q26" s="58" t="str">
        <f t="shared" ref="Q26:Q34" ca="1" si="5">IF(NOT(OR(L26 = "Livré",L26 = "BDL reçu")),_xludf.days(NOW(),K26),"ok")</f>
        <v>ok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1:33" ht="13.2">
      <c r="A27" s="431"/>
      <c r="B27" s="134"/>
      <c r="C27" s="128">
        <v>1</v>
      </c>
      <c r="D27" s="141" t="s">
        <v>277</v>
      </c>
      <c r="E27" s="113" t="s">
        <v>266</v>
      </c>
      <c r="F27" s="112" t="s">
        <v>118</v>
      </c>
      <c r="G27" s="142"/>
      <c r="H27" s="142"/>
      <c r="I27" s="143">
        <v>105.29</v>
      </c>
      <c r="J27" s="144"/>
      <c r="K27" s="145">
        <v>43501</v>
      </c>
      <c r="L27" s="146" t="s">
        <v>216</v>
      </c>
      <c r="M27" s="144"/>
      <c r="N27" s="119"/>
      <c r="O27" s="68" t="str">
        <f t="shared" ca="1" si="3"/>
        <v>Ok</v>
      </c>
      <c r="P27" s="69" t="str">
        <f t="shared" ca="1" si="4"/>
        <v>Ok</v>
      </c>
      <c r="Q27" s="58" t="str">
        <f t="shared" ca="1" si="5"/>
        <v>ok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</row>
    <row r="28" spans="1:33" ht="26.4">
      <c r="A28" s="431"/>
      <c r="B28" s="72"/>
      <c r="C28" s="73">
        <v>0</v>
      </c>
      <c r="D28" s="74" t="s">
        <v>278</v>
      </c>
      <c r="E28" s="147" t="s">
        <v>279</v>
      </c>
      <c r="F28" s="74" t="s">
        <v>280</v>
      </c>
      <c r="G28" s="76" t="s">
        <v>281</v>
      </c>
      <c r="H28" s="76">
        <v>390</v>
      </c>
      <c r="I28" s="76">
        <v>468</v>
      </c>
      <c r="J28" s="74">
        <v>5</v>
      </c>
      <c r="K28" s="78">
        <v>43504</v>
      </c>
      <c r="L28" s="66" t="s">
        <v>216</v>
      </c>
      <c r="M28" s="77"/>
      <c r="N28" s="86" t="s">
        <v>282</v>
      </c>
      <c r="O28" s="68" t="str">
        <f t="shared" ca="1" si="3"/>
        <v>Ok</v>
      </c>
      <c r="P28" s="69" t="str">
        <f t="shared" ca="1" si="4"/>
        <v>Ok</v>
      </c>
      <c r="Q28" s="58" t="str">
        <f t="shared" ca="1" si="5"/>
        <v>ok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29" spans="1:33" ht="26.4">
      <c r="A29" s="431"/>
      <c r="B29" s="60" t="s">
        <v>283</v>
      </c>
      <c r="C29" s="60">
        <v>1</v>
      </c>
      <c r="D29" s="61" t="s">
        <v>284</v>
      </c>
      <c r="E29" s="80" t="s">
        <v>285</v>
      </c>
      <c r="F29" s="61" t="s">
        <v>286</v>
      </c>
      <c r="G29" s="148">
        <v>2268</v>
      </c>
      <c r="H29" s="148">
        <v>0</v>
      </c>
      <c r="I29" s="148">
        <v>0</v>
      </c>
      <c r="J29" s="65"/>
      <c r="K29" s="88" t="s">
        <v>287</v>
      </c>
      <c r="L29" s="66" t="s">
        <v>216</v>
      </c>
      <c r="M29" s="61" t="s">
        <v>223</v>
      </c>
      <c r="N29" s="67" t="s">
        <v>288</v>
      </c>
      <c r="O29" s="68" t="str">
        <f t="shared" ca="1" si="3"/>
        <v>Ok</v>
      </c>
      <c r="P29" s="69" t="str">
        <f t="shared" ca="1" si="4"/>
        <v>Ok</v>
      </c>
      <c r="Q29" s="58" t="str">
        <f t="shared" ca="1" si="5"/>
        <v>ok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</row>
    <row r="30" spans="1:33" ht="26.4">
      <c r="A30" s="431"/>
      <c r="B30" s="149">
        <v>43489</v>
      </c>
      <c r="C30" s="73">
        <v>1</v>
      </c>
      <c r="D30" s="74" t="s">
        <v>289</v>
      </c>
      <c r="E30" s="80" t="s">
        <v>285</v>
      </c>
      <c r="F30" s="61" t="s">
        <v>64</v>
      </c>
      <c r="G30" s="88"/>
      <c r="H30" s="148">
        <v>2300</v>
      </c>
      <c r="I30" s="148">
        <v>2760</v>
      </c>
      <c r="J30" s="150"/>
      <c r="K30" s="151">
        <v>43487</v>
      </c>
      <c r="L30" s="66" t="s">
        <v>216</v>
      </c>
      <c r="M30" s="65"/>
      <c r="N30" s="67" t="s">
        <v>290</v>
      </c>
      <c r="O30" s="68" t="str">
        <f t="shared" ca="1" si="3"/>
        <v>Ok</v>
      </c>
      <c r="P30" s="69" t="str">
        <f t="shared" ca="1" si="4"/>
        <v>Ok</v>
      </c>
      <c r="Q30" s="58" t="str">
        <f t="shared" ca="1" si="5"/>
        <v>ok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</row>
    <row r="31" spans="1:33" ht="26.4">
      <c r="A31" s="431"/>
      <c r="B31" s="139">
        <v>43489</v>
      </c>
      <c r="C31" s="60">
        <v>0</v>
      </c>
      <c r="D31" s="61" t="s">
        <v>291</v>
      </c>
      <c r="E31" s="80" t="s">
        <v>235</v>
      </c>
      <c r="F31" s="61" t="s">
        <v>292</v>
      </c>
      <c r="G31" s="63">
        <v>0</v>
      </c>
      <c r="H31" s="63">
        <v>75</v>
      </c>
      <c r="I31" s="63">
        <v>90</v>
      </c>
      <c r="J31" s="61" t="s">
        <v>293</v>
      </c>
      <c r="K31" s="71">
        <v>43488</v>
      </c>
      <c r="L31" s="66" t="s">
        <v>216</v>
      </c>
      <c r="M31" s="61" t="s">
        <v>223</v>
      </c>
      <c r="N31" s="67" t="s">
        <v>294</v>
      </c>
      <c r="O31" s="68" t="str">
        <f t="shared" ca="1" si="3"/>
        <v>Ok</v>
      </c>
      <c r="P31" s="69" t="str">
        <f t="shared" ca="1" si="4"/>
        <v>Ok</v>
      </c>
      <c r="Q31" s="58" t="str">
        <f t="shared" ca="1" si="5"/>
        <v>ok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spans="1:33" ht="13.8">
      <c r="A32" s="431"/>
      <c r="B32" s="139">
        <v>43497</v>
      </c>
      <c r="C32" s="60">
        <v>1</v>
      </c>
      <c r="D32" s="61" t="s">
        <v>295</v>
      </c>
      <c r="E32" s="80" t="s">
        <v>266</v>
      </c>
      <c r="F32" s="61" t="s">
        <v>296</v>
      </c>
      <c r="G32" s="152">
        <v>0.15</v>
      </c>
      <c r="H32" s="63">
        <v>57.17</v>
      </c>
      <c r="I32" s="63">
        <v>68.62</v>
      </c>
      <c r="J32" s="65"/>
      <c r="K32" s="71">
        <v>43497</v>
      </c>
      <c r="L32" s="66" t="s">
        <v>216</v>
      </c>
      <c r="M32" s="65"/>
      <c r="N32" s="67" t="s">
        <v>297</v>
      </c>
      <c r="O32" s="68" t="str">
        <f t="shared" ca="1" si="3"/>
        <v>Ok</v>
      </c>
      <c r="P32" s="69" t="str">
        <f t="shared" ca="1" si="4"/>
        <v>Ok</v>
      </c>
      <c r="Q32" s="58" t="str">
        <f t="shared" ca="1" si="5"/>
        <v>ok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spans="1:33" ht="13.8">
      <c r="A33" s="431"/>
      <c r="B33" s="153">
        <v>43497</v>
      </c>
      <c r="C33" s="60">
        <v>1</v>
      </c>
      <c r="D33" s="61" t="s">
        <v>298</v>
      </c>
      <c r="E33" s="80" t="s">
        <v>266</v>
      </c>
      <c r="F33" s="61" t="s">
        <v>135</v>
      </c>
      <c r="G33" s="152">
        <v>0.2</v>
      </c>
      <c r="H33" s="63">
        <v>690.67</v>
      </c>
      <c r="I33" s="63">
        <v>828.8</v>
      </c>
      <c r="J33" s="65"/>
      <c r="K33" s="71">
        <v>43497</v>
      </c>
      <c r="L33" s="66" t="s">
        <v>216</v>
      </c>
      <c r="M33" s="65"/>
      <c r="N33" s="154" t="s">
        <v>299</v>
      </c>
      <c r="O33" s="68" t="str">
        <f t="shared" ca="1" si="3"/>
        <v>Ok</v>
      </c>
      <c r="P33" s="69" t="str">
        <f t="shared" ca="1" si="4"/>
        <v>Ok</v>
      </c>
      <c r="Q33" s="58" t="str">
        <f t="shared" ca="1" si="5"/>
        <v>ok</v>
      </c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</row>
    <row r="34" spans="1:33" ht="13.8">
      <c r="A34" s="431"/>
      <c r="B34" s="82"/>
      <c r="C34" s="60">
        <v>1</v>
      </c>
      <c r="D34" s="61" t="s">
        <v>300</v>
      </c>
      <c r="E34" s="80" t="s">
        <v>285</v>
      </c>
      <c r="F34" s="61" t="s">
        <v>28</v>
      </c>
      <c r="G34" s="63">
        <v>0</v>
      </c>
      <c r="H34" s="63"/>
      <c r="I34" s="63">
        <v>268</v>
      </c>
      <c r="J34" s="71"/>
      <c r="K34" s="71">
        <v>43547</v>
      </c>
      <c r="L34" s="66" t="s">
        <v>216</v>
      </c>
      <c r="M34" s="65"/>
      <c r="N34" s="62" t="s">
        <v>301</v>
      </c>
      <c r="O34" s="68" t="str">
        <f t="shared" ca="1" si="3"/>
        <v>Ok</v>
      </c>
      <c r="P34" s="69" t="str">
        <f t="shared" ca="1" si="4"/>
        <v>Ok</v>
      </c>
      <c r="Q34" s="58" t="str">
        <f t="shared" ca="1" si="5"/>
        <v>ok</v>
      </c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</row>
    <row r="35" spans="1:33" ht="13.8">
      <c r="A35" s="431"/>
      <c r="B35" s="82"/>
      <c r="C35" s="60">
        <v>1</v>
      </c>
      <c r="D35" s="65"/>
      <c r="E35" s="80" t="s">
        <v>285</v>
      </c>
      <c r="F35" s="61" t="s">
        <v>53</v>
      </c>
      <c r="G35" s="64"/>
      <c r="H35" s="64"/>
      <c r="I35" s="63">
        <v>0</v>
      </c>
      <c r="J35" s="65"/>
      <c r="K35" s="65"/>
      <c r="L35" s="155"/>
      <c r="M35" s="65"/>
      <c r="N35" s="156"/>
      <c r="O35" s="68"/>
      <c r="P35" s="69"/>
      <c r="Q35" s="58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spans="1:33" ht="26.4">
      <c r="A36" s="431"/>
      <c r="B36" s="82"/>
      <c r="C36" s="60">
        <v>1</v>
      </c>
      <c r="D36" s="61" t="s">
        <v>302</v>
      </c>
      <c r="E36" s="80" t="s">
        <v>285</v>
      </c>
      <c r="F36" s="61" t="s">
        <v>21</v>
      </c>
      <c r="G36" s="63"/>
      <c r="H36" s="64"/>
      <c r="I36" s="63">
        <f>300+20</f>
        <v>320</v>
      </c>
      <c r="J36" s="71"/>
      <c r="K36" s="71">
        <v>43544</v>
      </c>
      <c r="L36" s="66" t="s">
        <v>216</v>
      </c>
      <c r="M36" s="65"/>
      <c r="N36" s="67" t="s">
        <v>303</v>
      </c>
      <c r="O36" s="68" t="str">
        <f t="shared" ref="O36:O41" ca="1" si="6">IF(OR(L36 = "Livré",L36 = "Commandé",L36="Devis accepté", L36 ="BDL reçu"),"Ok",(NOW()-K36))</f>
        <v>Ok</v>
      </c>
      <c r="P36" s="69" t="str">
        <f t="shared" ref="P36:P41" ca="1" si="7">IF(OR(L36="Livré",L36="Commandé",L36="BDL reçu"),"Ok",IF(J36="",$P$1-NOW()-7*$J$76,$P$1-NOW()-J36*7))</f>
        <v>Ok</v>
      </c>
      <c r="Q36" s="58" t="str">
        <f t="shared" ref="Q36:Q41" ca="1" si="8">IF(NOT(OR(L36 = "Livré",L36 = "BDL reçu")),_xludf.days(NOW(),K36),"ok")</f>
        <v>ok</v>
      </c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spans="1:33" ht="26.4">
      <c r="A37" s="431"/>
      <c r="B37" s="82"/>
      <c r="C37" s="60">
        <v>1</v>
      </c>
      <c r="D37" s="61" t="s">
        <v>304</v>
      </c>
      <c r="E37" s="80" t="s">
        <v>285</v>
      </c>
      <c r="F37" s="61" t="s">
        <v>305</v>
      </c>
      <c r="G37" s="63">
        <v>0</v>
      </c>
      <c r="H37" s="63">
        <v>83.25</v>
      </c>
      <c r="I37" s="63">
        <v>99.9</v>
      </c>
      <c r="J37" s="65"/>
      <c r="K37" s="71">
        <v>43514</v>
      </c>
      <c r="L37" s="66" t="s">
        <v>306</v>
      </c>
      <c r="M37" s="61" t="s">
        <v>307</v>
      </c>
      <c r="N37" s="67" t="s">
        <v>308</v>
      </c>
      <c r="O37" s="68">
        <f t="shared" ca="1" si="6"/>
        <v>123.78940856481495</v>
      </c>
      <c r="P37" s="69">
        <f t="shared" ca="1" si="7"/>
        <v>-86.789408564814948</v>
      </c>
      <c r="Q37" s="58" t="e">
        <f t="shared" ca="1" si="8"/>
        <v>#NAME?</v>
      </c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spans="1:33" ht="26.4">
      <c r="A38" s="431"/>
      <c r="B38" s="82"/>
      <c r="C38" s="60">
        <v>1</v>
      </c>
      <c r="D38" s="65"/>
      <c r="E38" s="80" t="s">
        <v>285</v>
      </c>
      <c r="F38" s="61" t="s">
        <v>309</v>
      </c>
      <c r="G38" s="64"/>
      <c r="H38" s="63" t="s">
        <v>310</v>
      </c>
      <c r="I38" s="63">
        <v>28.51</v>
      </c>
      <c r="J38" s="65"/>
      <c r="K38" s="65"/>
      <c r="L38" s="66" t="s">
        <v>306</v>
      </c>
      <c r="M38" s="65"/>
      <c r="N38" s="61" t="s">
        <v>311</v>
      </c>
      <c r="O38" s="68">
        <f t="shared" ca="1" si="6"/>
        <v>43637.789408564815</v>
      </c>
      <c r="P38" s="69">
        <f t="shared" ca="1" si="7"/>
        <v>-86.789408564814948</v>
      </c>
      <c r="Q38" s="58" t="e">
        <f t="shared" ca="1" si="8"/>
        <v>#NAME?</v>
      </c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spans="1:33" ht="13.8">
      <c r="A39" s="431"/>
      <c r="B39" s="82"/>
      <c r="C39" s="60">
        <v>1</v>
      </c>
      <c r="D39" s="61"/>
      <c r="E39" s="80" t="s">
        <v>285</v>
      </c>
      <c r="F39" s="61"/>
      <c r="G39" s="64"/>
      <c r="H39" s="63"/>
      <c r="I39" s="63"/>
      <c r="J39" s="65"/>
      <c r="K39" s="65"/>
      <c r="L39" s="66"/>
      <c r="M39" s="65"/>
      <c r="N39" s="62"/>
      <c r="O39" s="68">
        <f t="shared" ca="1" si="6"/>
        <v>43637.789408564815</v>
      </c>
      <c r="P39" s="69">
        <f t="shared" ca="1" si="7"/>
        <v>-86.789408564814948</v>
      </c>
      <c r="Q39" s="58" t="e">
        <f t="shared" ca="1" si="8"/>
        <v>#NAME?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 ht="13.8">
      <c r="A40" s="431"/>
      <c r="B40" s="82"/>
      <c r="C40" s="60">
        <v>1</v>
      </c>
      <c r="D40" s="61" t="s">
        <v>312</v>
      </c>
      <c r="E40" s="80" t="s">
        <v>285</v>
      </c>
      <c r="F40" s="61" t="s">
        <v>313</v>
      </c>
      <c r="G40" s="64"/>
      <c r="H40" s="63">
        <v>880</v>
      </c>
      <c r="I40" s="63">
        <f>H40*1.2</f>
        <v>1056</v>
      </c>
      <c r="J40" s="65"/>
      <c r="K40" s="71">
        <v>43549</v>
      </c>
      <c r="L40" s="66" t="s">
        <v>216</v>
      </c>
      <c r="M40" s="65"/>
      <c r="N40" s="62"/>
      <c r="O40" s="68" t="str">
        <f t="shared" ca="1" si="6"/>
        <v>Ok</v>
      </c>
      <c r="P40" s="69" t="str">
        <f t="shared" ca="1" si="7"/>
        <v>Ok</v>
      </c>
      <c r="Q40" s="58" t="str">
        <f t="shared" ca="1" si="8"/>
        <v>ok</v>
      </c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ht="13.8">
      <c r="A41" s="431"/>
      <c r="B41" s="110"/>
      <c r="C41" s="111">
        <v>1</v>
      </c>
      <c r="D41" s="112" t="s">
        <v>314</v>
      </c>
      <c r="E41" s="70" t="s">
        <v>228</v>
      </c>
      <c r="F41" s="112" t="s">
        <v>315</v>
      </c>
      <c r="G41" s="114"/>
      <c r="H41" s="115"/>
      <c r="I41" s="115">
        <v>11.21</v>
      </c>
      <c r="J41" s="65"/>
      <c r="K41" s="116">
        <v>43551</v>
      </c>
      <c r="L41" s="117" t="s">
        <v>216</v>
      </c>
      <c r="M41" s="118"/>
      <c r="N41" s="157"/>
      <c r="O41" s="68" t="str">
        <f t="shared" ca="1" si="6"/>
        <v>Ok</v>
      </c>
      <c r="P41" s="69" t="str">
        <f t="shared" ca="1" si="7"/>
        <v>Ok</v>
      </c>
      <c r="Q41" s="58" t="str">
        <f t="shared" ca="1" si="8"/>
        <v>ok</v>
      </c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1:33" ht="13.8">
      <c r="A42" s="431"/>
      <c r="B42" s="158">
        <v>43551</v>
      </c>
      <c r="C42" s="159">
        <v>1</v>
      </c>
      <c r="D42" s="160" t="s">
        <v>316</v>
      </c>
      <c r="E42" s="120" t="s">
        <v>266</v>
      </c>
      <c r="F42" s="160"/>
      <c r="G42" s="161"/>
      <c r="H42" s="161"/>
      <c r="I42" s="161">
        <v>27.4</v>
      </c>
      <c r="J42" s="95"/>
      <c r="K42" s="162"/>
      <c r="L42" s="163"/>
      <c r="M42" s="164"/>
      <c r="N42" s="165"/>
      <c r="O42" s="166"/>
      <c r="P42" s="167"/>
      <c r="Q42" s="168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 ht="26.4">
      <c r="A43" s="432"/>
      <c r="B43" s="169"/>
      <c r="C43" s="170">
        <v>1</v>
      </c>
      <c r="D43" s="171" t="s">
        <v>317</v>
      </c>
      <c r="E43" s="124" t="s">
        <v>273</v>
      </c>
      <c r="F43" s="171" t="s">
        <v>70</v>
      </c>
      <c r="G43" s="172">
        <v>0</v>
      </c>
      <c r="H43" s="172"/>
      <c r="I43" s="172">
        <v>151.19999999999999</v>
      </c>
      <c r="J43" s="106"/>
      <c r="K43" s="173">
        <v>43571</v>
      </c>
      <c r="L43" s="174" t="s">
        <v>318</v>
      </c>
      <c r="M43" s="175"/>
      <c r="N43" s="176"/>
      <c r="O43" s="177"/>
      <c r="P43" s="178"/>
      <c r="Q43" s="179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 ht="26.4">
      <c r="A44" s="433" t="s">
        <v>319</v>
      </c>
      <c r="B44" s="180"/>
      <c r="C44" s="128">
        <v>1</v>
      </c>
      <c r="D44" s="141" t="s">
        <v>320</v>
      </c>
      <c r="E44" s="181" t="s">
        <v>321</v>
      </c>
      <c r="F44" s="141" t="s">
        <v>99</v>
      </c>
      <c r="G44" s="182">
        <v>0</v>
      </c>
      <c r="H44" s="183"/>
      <c r="I44" s="182">
        <v>18</v>
      </c>
      <c r="J44" s="141">
        <v>1</v>
      </c>
      <c r="K44" s="145"/>
      <c r="L44" s="117" t="s">
        <v>216</v>
      </c>
      <c r="M44" s="144"/>
      <c r="N44" s="184" t="s">
        <v>322</v>
      </c>
      <c r="O44" s="56" t="str">
        <f t="shared" ref="O44:O58" ca="1" si="9">IF(OR(L44 = "Livré",L44 = "Commandé",L44="Devis accepté", L44 ="BDL reçu"),"Ok",(NOW()-K44))</f>
        <v>Ok</v>
      </c>
      <c r="P44" s="57" t="str">
        <f t="shared" ref="P44:P58" ca="1" si="10">IF(OR(L44="Livré",L44="Commandé",L44="BDL reçu"),"Ok",IF(J44="",$P$1-NOW()-7*$J$76,$P$1-NOW()-J44*7))</f>
        <v>Ok</v>
      </c>
      <c r="Q44" s="58" t="str">
        <f t="shared" ref="Q44:Q58" ca="1" si="11">IF(NOT(OR(L44 = "Livré",L44 = "BDL reçu")),_xludf.days(NOW(),K44),"ok")</f>
        <v>ok</v>
      </c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 ht="26.4">
      <c r="A45" s="434"/>
      <c r="B45" s="180"/>
      <c r="C45" s="128">
        <v>1</v>
      </c>
      <c r="D45" s="141" t="s">
        <v>323</v>
      </c>
      <c r="E45" s="80" t="s">
        <v>321</v>
      </c>
      <c r="F45" s="74" t="s">
        <v>99</v>
      </c>
      <c r="G45" s="182">
        <v>0</v>
      </c>
      <c r="H45" s="182">
        <v>146.86000000000001</v>
      </c>
      <c r="I45" s="182">
        <v>174.49</v>
      </c>
      <c r="J45" s="74">
        <v>1</v>
      </c>
      <c r="K45" s="141" t="s">
        <v>324</v>
      </c>
      <c r="L45" s="117" t="s">
        <v>216</v>
      </c>
      <c r="M45" s="144"/>
      <c r="N45" s="86" t="s">
        <v>325</v>
      </c>
      <c r="O45" s="68" t="str">
        <f t="shared" ca="1" si="9"/>
        <v>Ok</v>
      </c>
      <c r="P45" s="69" t="str">
        <f t="shared" ca="1" si="10"/>
        <v>Ok</v>
      </c>
      <c r="Q45" s="58" t="str">
        <f t="shared" ca="1" si="11"/>
        <v>ok</v>
      </c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 ht="13.8">
      <c r="A46" s="434"/>
      <c r="B46" s="185"/>
      <c r="C46" s="73">
        <v>1</v>
      </c>
      <c r="D46" s="74"/>
      <c r="E46" s="80" t="s">
        <v>321</v>
      </c>
      <c r="F46" s="74" t="s">
        <v>326</v>
      </c>
      <c r="G46" s="186">
        <v>0</v>
      </c>
      <c r="H46" s="187"/>
      <c r="I46" s="186">
        <f>101.52+1.52</f>
        <v>103.03999999999999</v>
      </c>
      <c r="J46" s="77"/>
      <c r="K46" s="78">
        <v>43508</v>
      </c>
      <c r="L46" s="66" t="s">
        <v>216</v>
      </c>
      <c r="M46" s="77"/>
      <c r="N46" s="188" t="s">
        <v>327</v>
      </c>
      <c r="O46" s="68" t="str">
        <f t="shared" ca="1" si="9"/>
        <v>Ok</v>
      </c>
      <c r="P46" s="69" t="str">
        <f t="shared" ca="1" si="10"/>
        <v>Ok</v>
      </c>
      <c r="Q46" s="58" t="str">
        <f t="shared" ca="1" si="11"/>
        <v>ok</v>
      </c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</row>
    <row r="47" spans="1:33" ht="13.8">
      <c r="A47" s="434"/>
      <c r="B47" s="189"/>
      <c r="C47" s="190">
        <v>1</v>
      </c>
      <c r="D47" s="61" t="s">
        <v>328</v>
      </c>
      <c r="E47" s="80" t="s">
        <v>321</v>
      </c>
      <c r="F47" s="61" t="s">
        <v>329</v>
      </c>
      <c r="G47" s="186">
        <v>0</v>
      </c>
      <c r="H47" s="191"/>
      <c r="I47" s="148">
        <f>433.69+4.46</f>
        <v>438.15</v>
      </c>
      <c r="J47" s="65"/>
      <c r="K47" s="151">
        <v>43507</v>
      </c>
      <c r="L47" s="66" t="s">
        <v>318</v>
      </c>
      <c r="N47" s="61" t="s">
        <v>330</v>
      </c>
      <c r="O47" s="68" t="str">
        <f t="shared" ca="1" si="9"/>
        <v>Ok</v>
      </c>
      <c r="P47" s="69" t="str">
        <f t="shared" ca="1" si="10"/>
        <v>Ok</v>
      </c>
      <c r="Q47" s="58" t="str">
        <f t="shared" ca="1" si="11"/>
        <v>ok</v>
      </c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spans="1:33" ht="26.4">
      <c r="A48" s="434"/>
      <c r="B48" s="192"/>
      <c r="C48" s="60">
        <v>1</v>
      </c>
      <c r="D48" s="61" t="s">
        <v>331</v>
      </c>
      <c r="E48" s="80" t="s">
        <v>332</v>
      </c>
      <c r="F48" s="61" t="s">
        <v>333</v>
      </c>
      <c r="G48" s="148" t="s">
        <v>334</v>
      </c>
      <c r="H48" s="193"/>
      <c r="I48" s="193"/>
      <c r="J48" s="65"/>
      <c r="K48" s="65"/>
      <c r="L48" s="66" t="s">
        <v>318</v>
      </c>
      <c r="M48" s="65"/>
      <c r="N48" s="67" t="s">
        <v>335</v>
      </c>
      <c r="O48" s="68" t="str">
        <f t="shared" ca="1" si="9"/>
        <v>Ok</v>
      </c>
      <c r="P48" s="69" t="str">
        <f t="shared" ca="1" si="10"/>
        <v>Ok</v>
      </c>
      <c r="Q48" s="58" t="str">
        <f t="shared" ca="1" si="11"/>
        <v>ok</v>
      </c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</row>
    <row r="49" spans="1:33" ht="13.8">
      <c r="A49" s="434"/>
      <c r="B49" s="185"/>
      <c r="C49" s="73">
        <v>1</v>
      </c>
      <c r="D49" s="74"/>
      <c r="E49" s="80" t="s">
        <v>332</v>
      </c>
      <c r="F49" s="61" t="s">
        <v>336</v>
      </c>
      <c r="G49" s="186"/>
      <c r="H49" s="187"/>
      <c r="I49" s="186">
        <v>227.15</v>
      </c>
      <c r="J49" s="74"/>
      <c r="K49" s="78">
        <v>43538</v>
      </c>
      <c r="L49" s="66" t="s">
        <v>318</v>
      </c>
      <c r="M49" s="74"/>
      <c r="N49" s="186" t="s">
        <v>337</v>
      </c>
      <c r="O49" s="68" t="str">
        <f t="shared" ca="1" si="9"/>
        <v>Ok</v>
      </c>
      <c r="P49" s="69" t="str">
        <f t="shared" ca="1" si="10"/>
        <v>Ok</v>
      </c>
      <c r="Q49" s="58" t="str">
        <f t="shared" ca="1" si="11"/>
        <v>ok</v>
      </c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</row>
    <row r="50" spans="1:33" ht="26.4">
      <c r="A50" s="434"/>
      <c r="B50" s="185"/>
      <c r="C50" s="73">
        <v>1</v>
      </c>
      <c r="D50" s="74" t="s">
        <v>338</v>
      </c>
      <c r="E50" s="80" t="s">
        <v>321</v>
      </c>
      <c r="F50" s="74" t="s">
        <v>339</v>
      </c>
      <c r="G50" s="186">
        <v>0</v>
      </c>
      <c r="H50" s="187"/>
      <c r="I50" s="186">
        <v>13.66</v>
      </c>
      <c r="J50" s="74">
        <v>1</v>
      </c>
      <c r="K50" s="74" t="s">
        <v>340</v>
      </c>
      <c r="L50" s="66" t="s">
        <v>216</v>
      </c>
      <c r="M50" s="74" t="s">
        <v>341</v>
      </c>
      <c r="N50" s="194" t="s">
        <v>342</v>
      </c>
      <c r="O50" s="68" t="str">
        <f t="shared" ca="1" si="9"/>
        <v>Ok</v>
      </c>
      <c r="P50" s="69" t="str">
        <f t="shared" ca="1" si="10"/>
        <v>Ok</v>
      </c>
      <c r="Q50" s="58" t="str">
        <f t="shared" ca="1" si="11"/>
        <v>ok</v>
      </c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</row>
    <row r="51" spans="1:33" ht="39.6">
      <c r="A51" s="434"/>
      <c r="B51" s="185"/>
      <c r="C51" s="73">
        <v>1</v>
      </c>
      <c r="D51" s="74" t="s">
        <v>343</v>
      </c>
      <c r="E51" s="80" t="s">
        <v>321</v>
      </c>
      <c r="F51" s="74" t="s">
        <v>339</v>
      </c>
      <c r="G51" s="186">
        <v>0</v>
      </c>
      <c r="H51" s="187"/>
      <c r="I51" s="186">
        <v>16.25</v>
      </c>
      <c r="J51" s="74">
        <v>1</v>
      </c>
      <c r="K51" s="74" t="s">
        <v>340</v>
      </c>
      <c r="L51" s="66" t="s">
        <v>216</v>
      </c>
      <c r="M51" s="74"/>
      <c r="N51" s="86"/>
      <c r="O51" s="68" t="str">
        <f t="shared" ca="1" si="9"/>
        <v>Ok</v>
      </c>
      <c r="P51" s="69" t="str">
        <f t="shared" ca="1" si="10"/>
        <v>Ok</v>
      </c>
      <c r="Q51" s="58" t="str">
        <f t="shared" ca="1" si="11"/>
        <v>ok</v>
      </c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</row>
    <row r="52" spans="1:33" ht="13.8">
      <c r="A52" s="434"/>
      <c r="B52" s="185"/>
      <c r="C52" s="73">
        <v>1</v>
      </c>
      <c r="D52" s="74" t="s">
        <v>344</v>
      </c>
      <c r="E52" s="80" t="s">
        <v>321</v>
      </c>
      <c r="F52" s="74" t="s">
        <v>345</v>
      </c>
      <c r="G52" s="186">
        <v>0</v>
      </c>
      <c r="H52" s="187"/>
      <c r="I52" s="186">
        <v>37.75</v>
      </c>
      <c r="J52" s="74">
        <v>1</v>
      </c>
      <c r="K52" s="74" t="s">
        <v>340</v>
      </c>
      <c r="L52" s="66" t="s">
        <v>216</v>
      </c>
      <c r="M52" s="74" t="s">
        <v>346</v>
      </c>
      <c r="N52" s="194" t="s">
        <v>342</v>
      </c>
      <c r="O52" s="68" t="str">
        <f t="shared" ca="1" si="9"/>
        <v>Ok</v>
      </c>
      <c r="P52" s="69" t="str">
        <f t="shared" ca="1" si="10"/>
        <v>Ok</v>
      </c>
      <c r="Q52" s="58" t="str">
        <f t="shared" ca="1" si="11"/>
        <v>ok</v>
      </c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 ht="39.6">
      <c r="A53" s="434"/>
      <c r="B53" s="185"/>
      <c r="C53" s="195">
        <v>1</v>
      </c>
      <c r="D53" s="196" t="s">
        <v>347</v>
      </c>
      <c r="E53" s="197" t="s">
        <v>321</v>
      </c>
      <c r="F53" s="196" t="s">
        <v>348</v>
      </c>
      <c r="G53" s="198"/>
      <c r="H53" s="199">
        <v>549.6</v>
      </c>
      <c r="I53" s="198">
        <f>H53*1.2</f>
        <v>659.52</v>
      </c>
      <c r="J53" s="200"/>
      <c r="K53" s="201">
        <v>43524</v>
      </c>
      <c r="L53" s="97" t="s">
        <v>216</v>
      </c>
      <c r="M53" s="200"/>
      <c r="N53" s="202"/>
      <c r="O53" s="68" t="str">
        <f t="shared" ca="1" si="9"/>
        <v>Ok</v>
      </c>
      <c r="P53" s="69" t="str">
        <f t="shared" ca="1" si="10"/>
        <v>Ok</v>
      </c>
      <c r="Q53" s="58" t="str">
        <f t="shared" ca="1" si="11"/>
        <v>ok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</row>
    <row r="54" spans="1:33" ht="13.8">
      <c r="A54" s="434"/>
      <c r="B54" s="203"/>
      <c r="C54" s="204">
        <v>1</v>
      </c>
      <c r="D54" s="61" t="s">
        <v>349</v>
      </c>
      <c r="E54" s="70" t="s">
        <v>321</v>
      </c>
      <c r="F54" s="61" t="s">
        <v>350</v>
      </c>
      <c r="G54" s="193"/>
      <c r="H54" s="193"/>
      <c r="I54" s="193"/>
      <c r="J54" s="65"/>
      <c r="K54" s="65"/>
      <c r="L54" s="66" t="s">
        <v>216</v>
      </c>
      <c r="M54" s="61" t="s">
        <v>351</v>
      </c>
      <c r="N54" s="205" t="s">
        <v>352</v>
      </c>
      <c r="O54" s="68" t="str">
        <f t="shared" ca="1" si="9"/>
        <v>Ok</v>
      </c>
      <c r="P54" s="69" t="str">
        <f t="shared" ca="1" si="10"/>
        <v>Ok</v>
      </c>
      <c r="Q54" s="58" t="str">
        <f t="shared" ca="1" si="11"/>
        <v>ok</v>
      </c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</row>
    <row r="55" spans="1:33" ht="13.8">
      <c r="A55" s="434"/>
      <c r="B55" s="203"/>
      <c r="C55" s="204">
        <v>1</v>
      </c>
      <c r="D55" s="61" t="s">
        <v>353</v>
      </c>
      <c r="E55" s="70" t="s">
        <v>321</v>
      </c>
      <c r="F55" s="61" t="s">
        <v>90</v>
      </c>
      <c r="G55" s="193"/>
      <c r="H55" s="193"/>
      <c r="I55" s="193"/>
      <c r="J55" s="65"/>
      <c r="K55" s="65"/>
      <c r="L55" s="66" t="s">
        <v>216</v>
      </c>
      <c r="M55" s="61" t="s">
        <v>223</v>
      </c>
      <c r="N55" s="140" t="s">
        <v>352</v>
      </c>
      <c r="O55" s="68" t="str">
        <f t="shared" ca="1" si="9"/>
        <v>Ok</v>
      </c>
      <c r="P55" s="69" t="str">
        <f t="shared" ca="1" si="10"/>
        <v>Ok</v>
      </c>
      <c r="Q55" s="58" t="str">
        <f t="shared" ca="1" si="11"/>
        <v>ok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</row>
    <row r="56" spans="1:33" ht="13.8">
      <c r="A56" s="434"/>
      <c r="B56" s="82"/>
      <c r="C56" s="60">
        <v>1</v>
      </c>
      <c r="D56" s="61" t="s">
        <v>190</v>
      </c>
      <c r="E56" s="70" t="s">
        <v>321</v>
      </c>
      <c r="F56" s="61" t="s">
        <v>189</v>
      </c>
      <c r="G56" s="193"/>
      <c r="H56" s="193"/>
      <c r="I56" s="193"/>
      <c r="J56" s="65"/>
      <c r="K56" s="65"/>
      <c r="L56" s="66" t="s">
        <v>216</v>
      </c>
      <c r="M56" s="61" t="s">
        <v>354</v>
      </c>
      <c r="N56" s="140" t="s">
        <v>352</v>
      </c>
      <c r="O56" s="68" t="str">
        <f t="shared" ca="1" si="9"/>
        <v>Ok</v>
      </c>
      <c r="P56" s="69" t="str">
        <f t="shared" ca="1" si="10"/>
        <v>Ok</v>
      </c>
      <c r="Q56" s="58" t="str">
        <f t="shared" ca="1" si="11"/>
        <v>ok</v>
      </c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</row>
    <row r="57" spans="1:33" ht="26.4">
      <c r="A57" s="435"/>
      <c r="B57" s="206"/>
      <c r="C57" s="207">
        <v>1</v>
      </c>
      <c r="D57" s="208" t="s">
        <v>355</v>
      </c>
      <c r="E57" s="209" t="s">
        <v>235</v>
      </c>
      <c r="F57" s="208" t="s">
        <v>356</v>
      </c>
      <c r="G57" s="210">
        <v>0</v>
      </c>
      <c r="H57" s="211"/>
      <c r="I57" s="210">
        <v>80.040000000000006</v>
      </c>
      <c r="J57" s="208">
        <v>1</v>
      </c>
      <c r="K57" s="212">
        <v>43556</v>
      </c>
      <c r="L57" s="108" t="s">
        <v>216</v>
      </c>
      <c r="M57" s="213"/>
      <c r="N57" s="214" t="s">
        <v>357</v>
      </c>
      <c r="O57" s="177" t="str">
        <f t="shared" ca="1" si="9"/>
        <v>Ok</v>
      </c>
      <c r="P57" s="178" t="str">
        <f t="shared" ca="1" si="10"/>
        <v>Ok</v>
      </c>
      <c r="Q57" s="179" t="str">
        <f t="shared" ca="1" si="11"/>
        <v>ok</v>
      </c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</row>
    <row r="58" spans="1:33" ht="26.4">
      <c r="A58" s="443" t="s">
        <v>358</v>
      </c>
      <c r="B58" s="215">
        <v>43480</v>
      </c>
      <c r="C58" s="128">
        <v>1</v>
      </c>
      <c r="D58" s="141" t="s">
        <v>359</v>
      </c>
      <c r="E58" s="181" t="s">
        <v>360</v>
      </c>
      <c r="F58" s="141" t="s">
        <v>361</v>
      </c>
      <c r="G58" s="142"/>
      <c r="H58" s="142"/>
      <c r="I58" s="143">
        <v>17.05</v>
      </c>
      <c r="J58" s="141">
        <v>1</v>
      </c>
      <c r="K58" s="141" t="s">
        <v>362</v>
      </c>
      <c r="L58" s="117" t="s">
        <v>216</v>
      </c>
      <c r="M58" s="144"/>
      <c r="N58" s="55" t="s">
        <v>363</v>
      </c>
      <c r="O58" s="56" t="str">
        <f t="shared" ca="1" si="9"/>
        <v>Ok</v>
      </c>
      <c r="P58" s="57" t="str">
        <f t="shared" ca="1" si="10"/>
        <v>Ok</v>
      </c>
      <c r="Q58" s="58" t="str">
        <f t="shared" ca="1" si="11"/>
        <v>ok</v>
      </c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</row>
    <row r="59" spans="1:33" ht="13.2">
      <c r="A59" s="431"/>
      <c r="B59" s="134"/>
      <c r="C59" s="128">
        <v>1</v>
      </c>
      <c r="D59" s="141"/>
      <c r="E59" s="113"/>
      <c r="F59" s="112"/>
      <c r="G59" s="142"/>
      <c r="H59" s="142"/>
      <c r="I59" s="143"/>
      <c r="J59" s="144"/>
      <c r="K59" s="144"/>
      <c r="L59" s="146"/>
      <c r="M59" s="144"/>
      <c r="N59" s="216"/>
      <c r="O59" s="68"/>
      <c r="P59" s="69"/>
      <c r="Q59" s="58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</row>
    <row r="60" spans="1:33" ht="13.2">
      <c r="A60" s="431"/>
      <c r="B60" s="72"/>
      <c r="C60" s="73">
        <v>1</v>
      </c>
      <c r="D60" s="77"/>
      <c r="E60" s="70" t="s">
        <v>266</v>
      </c>
      <c r="F60" s="61" t="s">
        <v>364</v>
      </c>
      <c r="G60" s="217">
        <v>0.1</v>
      </c>
      <c r="H60" s="75"/>
      <c r="I60" s="218">
        <v>1694.12</v>
      </c>
      <c r="J60" s="77"/>
      <c r="K60" s="78">
        <v>43509</v>
      </c>
      <c r="L60" s="219" t="s">
        <v>216</v>
      </c>
      <c r="M60" s="77"/>
      <c r="N60" s="140" t="s">
        <v>365</v>
      </c>
      <c r="O60" s="68" t="str">
        <f t="shared" ref="O60:O62" ca="1" si="12">IF(OR(L60 = "Livré",L60 = "Commandé",L60="Devis accepté", L60 ="BDL reçu"),"Ok",(NOW()-K60))</f>
        <v>Ok</v>
      </c>
      <c r="P60" s="69" t="str">
        <f t="shared" ref="P60:P62" ca="1" si="13">IF(OR(L60="Livré",L60="Commandé",L60="BDL reçu"),"Ok",IF(J60="",$P$1-NOW()-7*$J$76,$P$1-NOW()-J60*7))</f>
        <v>Ok</v>
      </c>
      <c r="Q60" s="58" t="str">
        <f t="shared" ref="Q60:Q62" ca="1" si="14">IF(NOT(OR(L60 = "Livré",L60 = "BDL reçu")),_xludf.days(NOW(),K60),"ok")</f>
        <v>ok</v>
      </c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</row>
    <row r="61" spans="1:33" ht="17.25" customHeight="1">
      <c r="A61" s="431"/>
      <c r="B61" s="82"/>
      <c r="C61" s="60">
        <v>1</v>
      </c>
      <c r="D61" s="65"/>
      <c r="E61" s="70" t="s">
        <v>235</v>
      </c>
      <c r="F61" s="61" t="s">
        <v>366</v>
      </c>
      <c r="G61" s="63">
        <v>0</v>
      </c>
      <c r="H61" s="64"/>
      <c r="I61" s="63">
        <v>1750</v>
      </c>
      <c r="J61" s="65"/>
      <c r="K61" s="65"/>
      <c r="L61" s="219" t="s">
        <v>216</v>
      </c>
      <c r="M61" s="65"/>
      <c r="N61" s="140" t="s">
        <v>367</v>
      </c>
      <c r="O61" s="68" t="str">
        <f t="shared" ca="1" si="12"/>
        <v>Ok</v>
      </c>
      <c r="P61" s="69" t="str">
        <f t="shared" ca="1" si="13"/>
        <v>Ok</v>
      </c>
      <c r="Q61" s="58" t="str">
        <f t="shared" ca="1" si="14"/>
        <v>ok</v>
      </c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</row>
    <row r="62" spans="1:33" ht="17.25" customHeight="1">
      <c r="A62" s="431"/>
      <c r="B62" s="82"/>
      <c r="C62" s="60">
        <v>1</v>
      </c>
      <c r="D62" s="65"/>
      <c r="E62" s="70" t="s">
        <v>235</v>
      </c>
      <c r="F62" s="61" t="s">
        <v>368</v>
      </c>
      <c r="G62" s="63">
        <v>0</v>
      </c>
      <c r="H62" s="64"/>
      <c r="I62" s="220">
        <v>1415</v>
      </c>
      <c r="J62" s="65"/>
      <c r="K62" s="65"/>
      <c r="L62" s="219" t="s">
        <v>216</v>
      </c>
      <c r="M62" s="65"/>
      <c r="N62" s="140" t="s">
        <v>369</v>
      </c>
      <c r="O62" s="68" t="str">
        <f t="shared" ca="1" si="12"/>
        <v>Ok</v>
      </c>
      <c r="P62" s="69" t="str">
        <f t="shared" ca="1" si="13"/>
        <v>Ok</v>
      </c>
      <c r="Q62" s="58" t="str">
        <f t="shared" ca="1" si="14"/>
        <v>ok</v>
      </c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</row>
    <row r="63" spans="1:33" ht="17.25" customHeight="1">
      <c r="A63" s="431"/>
      <c r="B63" s="82"/>
      <c r="C63" s="60">
        <v>1</v>
      </c>
      <c r="D63" s="65"/>
      <c r="E63" s="70" t="s">
        <v>235</v>
      </c>
      <c r="F63" s="61" t="s">
        <v>370</v>
      </c>
      <c r="G63" s="63"/>
      <c r="H63" s="220"/>
      <c r="I63" s="63">
        <v>1199</v>
      </c>
      <c r="J63" s="65"/>
      <c r="K63" s="65"/>
      <c r="L63" s="219" t="s">
        <v>216</v>
      </c>
      <c r="M63" s="65"/>
      <c r="N63" s="62" t="s">
        <v>371</v>
      </c>
      <c r="O63" s="68"/>
      <c r="P63" s="69"/>
      <c r="Q63" s="58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</row>
    <row r="64" spans="1:33" ht="17.25" customHeight="1">
      <c r="A64" s="431"/>
      <c r="B64" s="82"/>
      <c r="C64" s="60">
        <v>1</v>
      </c>
      <c r="D64" s="65"/>
      <c r="E64" s="70" t="s">
        <v>235</v>
      </c>
      <c r="F64" s="61" t="s">
        <v>372</v>
      </c>
      <c r="G64" s="63">
        <v>0</v>
      </c>
      <c r="H64" s="220"/>
      <c r="I64" s="221">
        <v>1488.4</v>
      </c>
      <c r="J64" s="61"/>
      <c r="K64" s="65"/>
      <c r="L64" s="219" t="s">
        <v>216</v>
      </c>
      <c r="M64" s="65"/>
      <c r="N64" s="62" t="s">
        <v>373</v>
      </c>
      <c r="O64" s="68" t="str">
        <f ca="1">IF(OR(L64 = "Livré",L64 = "Commandé",L64="Devis accepté", L64 ="BDL reçu"),"Ok",(NOW()-K64))</f>
        <v>Ok</v>
      </c>
      <c r="P64" s="69" t="str">
        <f ca="1">IF(OR(L64="Livré",L64="Commandé",L64="BDL reçu"),"Ok",IF(J64="",$P$1-NOW()-7*$J$76,$P$1-NOW()-J64*7))</f>
        <v>Ok</v>
      </c>
      <c r="Q64" s="58" t="str">
        <f ca="1">IF(NOT(OR(L64 = "Livré",L64 = "BDL reçu")),_xludf.days(NOW(),K64),"ok")</f>
        <v>ok</v>
      </c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</row>
    <row r="65" spans="1:33" ht="17.25" customHeight="1">
      <c r="A65" s="431"/>
      <c r="B65" s="82"/>
      <c r="C65" s="60">
        <v>1</v>
      </c>
      <c r="D65" s="222"/>
      <c r="E65" s="70"/>
      <c r="F65" s="61" t="s">
        <v>377</v>
      </c>
      <c r="G65" s="63"/>
      <c r="H65" s="220" t="s">
        <v>378</v>
      </c>
      <c r="I65" s="63">
        <v>0</v>
      </c>
      <c r="J65" s="65"/>
      <c r="K65" s="65"/>
      <c r="L65" s="223"/>
      <c r="M65" s="65"/>
      <c r="N65" s="62" t="s">
        <v>371</v>
      </c>
      <c r="O65" s="68"/>
      <c r="P65" s="69"/>
      <c r="Q65" s="58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</row>
    <row r="66" spans="1:33" ht="17.25" customHeight="1">
      <c r="A66" s="431"/>
      <c r="B66" s="82"/>
      <c r="C66" s="60">
        <v>1</v>
      </c>
      <c r="D66" s="65"/>
      <c r="E66" s="70" t="s">
        <v>235</v>
      </c>
      <c r="F66" s="61" t="s">
        <v>139</v>
      </c>
      <c r="G66" s="64"/>
      <c r="H66" s="64"/>
      <c r="I66" s="63">
        <v>40.43</v>
      </c>
      <c r="J66" s="65"/>
      <c r="K66" s="71">
        <v>43545</v>
      </c>
      <c r="L66" s="219" t="s">
        <v>216</v>
      </c>
      <c r="M66" s="65"/>
      <c r="N66" s="224"/>
      <c r="O66" s="68" t="str">
        <f t="shared" ref="O66:O73" ca="1" si="15">IF(OR(L66 = "Livré",L66 = "Commandé",L66="Devis accepté", L66 ="BDL reçu"),"Ok",(NOW()-K66))</f>
        <v>Ok</v>
      </c>
      <c r="P66" s="69" t="str">
        <f t="shared" ref="P66:P73" ca="1" si="16">IF(OR(L66="Livré",L66="Commandé",L66="BDL reçu"),"Ok",IF(J66="",$P$1-NOW()-7*$J$76,$P$1-NOW()-J66*7))</f>
        <v>Ok</v>
      </c>
      <c r="Q66" s="58" t="str">
        <f t="shared" ref="Q66:Q73" ca="1" si="17">IF(NOT(OR(L66 = "Livré",L66 = "BDL reçu")),_xludf.days(NOW(),K66),"ok")</f>
        <v>ok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</row>
    <row r="67" spans="1:33" ht="17.25" customHeight="1">
      <c r="A67" s="431"/>
      <c r="B67" s="82"/>
      <c r="C67" s="60">
        <v>1</v>
      </c>
      <c r="D67" s="65"/>
      <c r="E67" s="70" t="s">
        <v>332</v>
      </c>
      <c r="F67" s="61" t="s">
        <v>383</v>
      </c>
      <c r="G67" s="64"/>
      <c r="H67" s="64"/>
      <c r="I67" s="64"/>
      <c r="J67" s="65"/>
      <c r="K67" s="65"/>
      <c r="L67" s="223"/>
      <c r="M67" s="65"/>
      <c r="N67" s="224"/>
      <c r="O67" s="68">
        <f t="shared" ca="1" si="15"/>
        <v>43637.789408564815</v>
      </c>
      <c r="P67" s="69">
        <f t="shared" ca="1" si="16"/>
        <v>-86.789408564814948</v>
      </c>
      <c r="Q67" s="58" t="e">
        <f t="shared" ca="1" si="17"/>
        <v>#NAME?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</row>
    <row r="68" spans="1:33" ht="17.25" customHeight="1">
      <c r="A68" s="431"/>
      <c r="B68" s="90"/>
      <c r="C68" s="91">
        <v>1</v>
      </c>
      <c r="D68" s="95"/>
      <c r="E68" s="120" t="s">
        <v>214</v>
      </c>
      <c r="F68" s="98" t="s">
        <v>384</v>
      </c>
      <c r="G68" s="94">
        <f>0.4*I68</f>
        <v>79.175999999999988</v>
      </c>
      <c r="H68" s="94">
        <f>'TDI Fasteners'!D39</f>
        <v>164.95</v>
      </c>
      <c r="I68" s="94">
        <f>1.2*H68</f>
        <v>197.93999999999997</v>
      </c>
      <c r="J68" s="98">
        <v>1</v>
      </c>
      <c r="K68" s="96">
        <v>43501</v>
      </c>
      <c r="L68" s="227" t="s">
        <v>216</v>
      </c>
      <c r="M68" s="95"/>
      <c r="N68" s="228" t="s">
        <v>385</v>
      </c>
      <c r="O68" s="68" t="str">
        <f t="shared" ca="1" si="15"/>
        <v>Ok</v>
      </c>
      <c r="P68" s="69" t="str">
        <f t="shared" ca="1" si="16"/>
        <v>Ok</v>
      </c>
      <c r="Q68" s="58" t="str">
        <f t="shared" ca="1" si="17"/>
        <v>ok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</row>
    <row r="69" spans="1:33" ht="17.25" customHeight="1">
      <c r="A69" s="431"/>
      <c r="B69" s="90"/>
      <c r="C69" s="91">
        <v>0</v>
      </c>
      <c r="D69" s="95"/>
      <c r="E69" s="120" t="s">
        <v>214</v>
      </c>
      <c r="F69" s="98" t="s">
        <v>388</v>
      </c>
      <c r="G69" s="94"/>
      <c r="H69" s="94">
        <f>'K-nuts'!F8</f>
        <v>502.29999999999995</v>
      </c>
      <c r="I69" s="94">
        <f>H69</f>
        <v>502.29999999999995</v>
      </c>
      <c r="J69" s="95"/>
      <c r="K69" s="96">
        <v>43504</v>
      </c>
      <c r="L69" s="227" t="s">
        <v>216</v>
      </c>
      <c r="M69" s="95"/>
      <c r="N69" s="228" t="s">
        <v>389</v>
      </c>
      <c r="O69" s="68" t="str">
        <f t="shared" ca="1" si="15"/>
        <v>Ok</v>
      </c>
      <c r="P69" s="69" t="str">
        <f t="shared" ca="1" si="16"/>
        <v>Ok</v>
      </c>
      <c r="Q69" s="58" t="str">
        <f t="shared" ca="1" si="17"/>
        <v>ok</v>
      </c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</row>
    <row r="70" spans="1:33" ht="17.25" customHeight="1">
      <c r="A70" s="431"/>
      <c r="B70" s="90"/>
      <c r="C70" s="91">
        <v>1</v>
      </c>
      <c r="D70" s="98" t="s">
        <v>112</v>
      </c>
      <c r="E70" s="120" t="s">
        <v>235</v>
      </c>
      <c r="F70" s="98" t="s">
        <v>391</v>
      </c>
      <c r="G70" s="229"/>
      <c r="H70" s="93"/>
      <c r="I70" s="93">
        <v>1566.22</v>
      </c>
      <c r="J70" s="98">
        <v>2</v>
      </c>
      <c r="K70" s="96">
        <v>43551</v>
      </c>
      <c r="L70" s="227" t="s">
        <v>318</v>
      </c>
      <c r="M70" s="95"/>
      <c r="N70" s="93">
        <v>1508.21</v>
      </c>
      <c r="O70" s="68" t="str">
        <f t="shared" ca="1" si="15"/>
        <v>Ok</v>
      </c>
      <c r="P70" s="69" t="str">
        <f t="shared" ca="1" si="16"/>
        <v>Ok</v>
      </c>
      <c r="Q70" s="58" t="str">
        <f t="shared" ca="1" si="17"/>
        <v>ok</v>
      </c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ht="17.25" customHeight="1">
      <c r="A71" s="431"/>
      <c r="B71" s="90"/>
      <c r="C71" s="91">
        <v>1</v>
      </c>
      <c r="D71" s="98" t="s">
        <v>394</v>
      </c>
      <c r="E71" s="120" t="s">
        <v>285</v>
      </c>
      <c r="F71" s="98" t="s">
        <v>395</v>
      </c>
      <c r="G71" s="229"/>
      <c r="H71" s="94"/>
      <c r="I71" s="93"/>
      <c r="J71" s="95"/>
      <c r="K71" s="95"/>
      <c r="L71" s="230"/>
      <c r="M71" s="95"/>
      <c r="N71" s="231"/>
      <c r="O71" s="68">
        <f t="shared" ca="1" si="15"/>
        <v>43637.789408564815</v>
      </c>
      <c r="P71" s="69">
        <f t="shared" ca="1" si="16"/>
        <v>-86.789408564814948</v>
      </c>
      <c r="Q71" s="58" t="e">
        <f t="shared" ca="1" si="17"/>
        <v>#NAME?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ht="17.25" customHeight="1">
      <c r="A72" s="431"/>
      <c r="B72" s="90"/>
      <c r="C72" s="91">
        <v>0</v>
      </c>
      <c r="D72" s="98" t="s">
        <v>402</v>
      </c>
      <c r="E72" s="120" t="s">
        <v>266</v>
      </c>
      <c r="F72" s="98" t="s">
        <v>403</v>
      </c>
      <c r="G72" s="229">
        <v>0.1</v>
      </c>
      <c r="H72" s="94"/>
      <c r="I72" s="93">
        <f>1190.89</f>
        <v>1190.8900000000001</v>
      </c>
      <c r="J72" s="95"/>
      <c r="K72" s="95"/>
      <c r="L72" s="230"/>
      <c r="M72" s="95"/>
      <c r="N72" s="232" t="s">
        <v>371</v>
      </c>
      <c r="O72" s="68">
        <f t="shared" ca="1" si="15"/>
        <v>43637.789408564815</v>
      </c>
      <c r="P72" s="69">
        <f t="shared" ca="1" si="16"/>
        <v>-86.789408564814948</v>
      </c>
      <c r="Q72" s="58" t="e">
        <f t="shared" ca="1" si="17"/>
        <v>#NAME?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7.25" customHeight="1">
      <c r="A73" s="431"/>
      <c r="B73" s="82"/>
      <c r="C73" s="60">
        <v>1</v>
      </c>
      <c r="D73" s="61" t="s">
        <v>407</v>
      </c>
      <c r="E73" s="70"/>
      <c r="F73" s="61" t="s">
        <v>408</v>
      </c>
      <c r="G73" s="152"/>
      <c r="H73" s="64"/>
      <c r="I73" s="63">
        <v>3000.96</v>
      </c>
      <c r="J73" s="65"/>
      <c r="K73" s="65"/>
      <c r="L73" s="219" t="s">
        <v>409</v>
      </c>
      <c r="M73" s="65"/>
      <c r="N73" s="233" t="s">
        <v>410</v>
      </c>
      <c r="O73" s="68" t="str">
        <f t="shared" ca="1" si="15"/>
        <v>Ok</v>
      </c>
      <c r="P73" s="167">
        <f t="shared" ca="1" si="16"/>
        <v>-86.789408564814948</v>
      </c>
      <c r="Q73" s="168" t="e">
        <f t="shared" ca="1" si="17"/>
        <v>#NAME?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</row>
    <row r="74" spans="1:33" ht="17.25" customHeight="1">
      <c r="A74" s="431"/>
      <c r="B74" s="65"/>
      <c r="C74" s="61">
        <v>1</v>
      </c>
      <c r="D74" s="61"/>
      <c r="E74" s="70"/>
      <c r="F74" s="61" t="s">
        <v>411</v>
      </c>
      <c r="G74" s="152"/>
      <c r="H74" s="220"/>
      <c r="I74" s="63">
        <v>672</v>
      </c>
      <c r="J74" s="65"/>
      <c r="K74" s="65"/>
      <c r="L74" s="219"/>
      <c r="M74" s="65"/>
      <c r="N74" s="62"/>
      <c r="O74" s="234"/>
      <c r="P74" s="69"/>
      <c r="Q74" s="222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spans="1:33" ht="17.25" customHeight="1">
      <c r="A75" s="432"/>
      <c r="B75" s="65"/>
      <c r="C75" s="61">
        <v>1</v>
      </c>
      <c r="D75" s="61" t="s">
        <v>412</v>
      </c>
      <c r="E75" s="70"/>
      <c r="F75" s="61"/>
      <c r="G75" s="152"/>
      <c r="H75" s="220">
        <f>7.5+15+17.5+15+16.35</f>
        <v>71.349999999999994</v>
      </c>
      <c r="I75" s="63">
        <v>100</v>
      </c>
      <c r="J75" s="65"/>
      <c r="K75" s="65"/>
      <c r="L75" s="219" t="s">
        <v>413</v>
      </c>
      <c r="M75" s="65"/>
      <c r="N75" s="62" t="s">
        <v>414</v>
      </c>
      <c r="O75" s="234"/>
      <c r="P75" s="69"/>
      <c r="Q75" s="222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</row>
    <row r="76" spans="1:33" ht="26.4">
      <c r="A76" s="36"/>
      <c r="B76" s="36"/>
      <c r="C76" s="36"/>
      <c r="D76" s="36"/>
      <c r="E76" s="36"/>
      <c r="F76" s="36"/>
      <c r="G76" s="36"/>
      <c r="H76" s="235" t="s">
        <v>415</v>
      </c>
      <c r="I76" s="236">
        <f>SUM(I3:I75)</f>
        <v>34212.742000000006</v>
      </c>
      <c r="J76" s="237">
        <v>2</v>
      </c>
      <c r="K76" s="237" t="s">
        <v>416</v>
      </c>
      <c r="L76" s="202" t="s">
        <v>417</v>
      </c>
      <c r="M76" s="36">
        <f>SUMPRODUCT(C3:C75,I3:I75)</f>
        <v>31710.788000000004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</row>
    <row r="77" spans="1:33" ht="66">
      <c r="A77" s="36"/>
      <c r="B77" s="36"/>
      <c r="C77" s="36"/>
      <c r="F77" s="36"/>
      <c r="G77" s="36"/>
      <c r="H77" s="235" t="s">
        <v>418</v>
      </c>
      <c r="I77" s="236">
        <f>35000-I76</f>
        <v>787.25799999999435</v>
      </c>
      <c r="J77" s="238" t="s">
        <v>419</v>
      </c>
      <c r="K77" s="36"/>
      <c r="L77" s="239" t="s">
        <v>420</v>
      </c>
      <c r="M77" s="240">
        <f>31682.43-M76+I75-H75</f>
        <v>0.29199999999619308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</row>
    <row r="78" spans="1:33" ht="13.2">
      <c r="A78" s="239"/>
      <c r="B78" s="36"/>
      <c r="C78" s="36"/>
      <c r="D78" s="437" t="s">
        <v>421</v>
      </c>
      <c r="E78" s="438"/>
      <c r="F78" s="36"/>
      <c r="G78" s="36"/>
      <c r="H78" s="36"/>
      <c r="I78" s="36"/>
      <c r="J78" s="36"/>
      <c r="K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</row>
    <row r="79" spans="1:33" ht="13.2">
      <c r="A79" s="239"/>
      <c r="B79" s="36"/>
      <c r="C79" s="36"/>
      <c r="D79" s="241" t="s">
        <v>413</v>
      </c>
      <c r="E79" s="242">
        <f t="shared" ref="E79:E86" si="18">COUNTIF($L$3:$L$73,D79)</f>
        <v>0</v>
      </c>
      <c r="F79" s="36"/>
      <c r="G79" s="36"/>
      <c r="H79" s="36"/>
      <c r="I79" s="36"/>
      <c r="J79" s="36"/>
      <c r="K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</row>
    <row r="80" spans="1:33" ht="13.2">
      <c r="A80" s="36"/>
      <c r="B80" s="36"/>
      <c r="C80" s="36"/>
      <c r="D80" s="241" t="s">
        <v>422</v>
      </c>
      <c r="E80" s="242">
        <f t="shared" si="18"/>
        <v>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</row>
    <row r="81" spans="1:33" ht="13.2">
      <c r="A81" s="36"/>
      <c r="B81" s="36"/>
      <c r="C81" s="36"/>
      <c r="D81" s="241" t="s">
        <v>423</v>
      </c>
      <c r="E81" s="242">
        <f t="shared" si="18"/>
        <v>0</v>
      </c>
      <c r="F81" s="36"/>
      <c r="G81" s="36"/>
      <c r="H81" s="36"/>
      <c r="I81" s="36"/>
      <c r="J81" s="36"/>
      <c r="K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</row>
    <row r="82" spans="1:33" ht="13.2">
      <c r="A82" s="36"/>
      <c r="B82" s="36"/>
      <c r="C82" s="36"/>
      <c r="D82" s="241" t="s">
        <v>409</v>
      </c>
      <c r="E82" s="242">
        <f t="shared" si="18"/>
        <v>1</v>
      </c>
      <c r="F82" s="36"/>
      <c r="G82" s="36"/>
      <c r="H82" s="36"/>
      <c r="I82" s="36"/>
      <c r="J82" s="36"/>
      <c r="K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spans="1:33" ht="13.2">
      <c r="A83" s="36"/>
      <c r="B83" s="36"/>
      <c r="C83" s="36"/>
      <c r="D83" s="241" t="s">
        <v>424</v>
      </c>
      <c r="E83" s="242">
        <f t="shared" si="18"/>
        <v>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</row>
    <row r="84" spans="1:33" ht="13.2">
      <c r="A84" s="36"/>
      <c r="B84" s="36"/>
      <c r="C84" s="36"/>
      <c r="D84" s="243" t="s">
        <v>318</v>
      </c>
      <c r="E84" s="242">
        <f t="shared" si="18"/>
        <v>5</v>
      </c>
      <c r="F84" s="36"/>
      <c r="G84" s="36"/>
      <c r="H84" s="36"/>
      <c r="I84" s="36"/>
      <c r="J84" s="36"/>
      <c r="K84" s="36"/>
      <c r="L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</row>
    <row r="85" spans="1:33" ht="13.2">
      <c r="A85" s="244"/>
      <c r="B85" s="36"/>
      <c r="C85" s="36"/>
      <c r="D85" s="243" t="s">
        <v>216</v>
      </c>
      <c r="E85" s="242">
        <f t="shared" si="18"/>
        <v>50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</row>
    <row r="86" spans="1:33" ht="13.2">
      <c r="A86" s="244"/>
      <c r="B86" s="36"/>
      <c r="C86" s="36"/>
      <c r="D86" s="243" t="s">
        <v>425</v>
      </c>
      <c r="E86" s="242">
        <f t="shared" si="18"/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</row>
    <row r="87" spans="1:33" ht="13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</row>
    <row r="88" spans="1:33" ht="13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</row>
    <row r="89" spans="1:33" ht="13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</row>
    <row r="90" spans="1:33" ht="13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</row>
    <row r="91" spans="1:33" ht="13.2">
      <c r="A91" s="244"/>
      <c r="B91" s="244"/>
      <c r="C91" s="244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</row>
    <row r="92" spans="1:33" ht="13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</row>
    <row r="93" spans="1:33" ht="13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</row>
    <row r="94" spans="1:33" ht="13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</row>
    <row r="95" spans="1:33" ht="13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spans="1:33" ht="13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</row>
    <row r="97" spans="1:33" ht="13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</row>
    <row r="98" spans="1:33" ht="13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</row>
    <row r="99" spans="1:33" ht="13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</row>
    <row r="100" spans="1:33" ht="13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</row>
    <row r="101" spans="1:33" ht="13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</row>
    <row r="102" spans="1:33" ht="13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</row>
    <row r="103" spans="1:33" ht="13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</row>
    <row r="104" spans="1:33" ht="13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</row>
    <row r="105" spans="1:33" ht="13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</row>
    <row r="106" spans="1:33" ht="13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</row>
    <row r="107" spans="1:33" ht="13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</row>
    <row r="108" spans="1:33" ht="13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</row>
    <row r="109" spans="1:33" ht="13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</row>
    <row r="110" spans="1:33" ht="13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</row>
    <row r="111" spans="1:33" ht="13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</row>
    <row r="112" spans="1:33" ht="13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spans="1:33" ht="13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</row>
    <row r="114" spans="1:33" ht="13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</row>
    <row r="115" spans="1:33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</row>
    <row r="116" spans="1:33" ht="13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</row>
    <row r="117" spans="1:33" ht="13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</row>
    <row r="118" spans="1:33" ht="13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</row>
    <row r="119" spans="1:33" ht="13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</row>
    <row r="120" spans="1:33" ht="13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</row>
    <row r="121" spans="1:33" ht="13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</row>
    <row r="122" spans="1:33" ht="13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</row>
    <row r="123" spans="1:33" ht="13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</row>
    <row r="124" spans="1:33" ht="13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</row>
    <row r="125" spans="1:33" ht="13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</row>
    <row r="126" spans="1:33" ht="13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</row>
    <row r="127" spans="1:33" ht="13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</row>
    <row r="128" spans="1:33" ht="13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</row>
    <row r="129" spans="1:33" ht="13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</row>
    <row r="130" spans="1:33" ht="13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</row>
    <row r="131" spans="1:33" ht="13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</row>
    <row r="132" spans="1:33" ht="13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</row>
    <row r="133" spans="1:33" ht="13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</row>
    <row r="134" spans="1:33" ht="13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</row>
    <row r="135" spans="1:33" ht="13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</row>
    <row r="136" spans="1:33" ht="13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</row>
    <row r="137" spans="1:33" ht="13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</row>
    <row r="138" spans="1:33" ht="13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</row>
    <row r="139" spans="1:33" ht="13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</row>
    <row r="140" spans="1:33" ht="13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</row>
    <row r="141" spans="1:33" ht="13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</row>
    <row r="142" spans="1:33" ht="13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</row>
    <row r="143" spans="1:33" ht="13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</row>
    <row r="144" spans="1:33" ht="13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spans="1:33" ht="13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</row>
    <row r="146" spans="1:33" ht="13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</row>
    <row r="147" spans="1:33" ht="13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</row>
    <row r="148" spans="1:33" ht="13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</row>
    <row r="149" spans="1:33" ht="13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</row>
    <row r="150" spans="1:33" ht="13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</row>
    <row r="151" spans="1:33" ht="13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</row>
    <row r="152" spans="1:33" ht="13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</row>
    <row r="153" spans="1:33" ht="13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</row>
    <row r="154" spans="1:33" ht="13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</row>
    <row r="155" spans="1:33" ht="13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</row>
    <row r="156" spans="1:33" ht="13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</row>
    <row r="157" spans="1:33" ht="13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</row>
    <row r="158" spans="1:33" ht="13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</row>
    <row r="159" spans="1:33" ht="13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</row>
    <row r="160" spans="1:33" ht="13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</row>
    <row r="161" spans="1:33" ht="13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</row>
    <row r="162" spans="1:33" ht="13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</row>
    <row r="163" spans="1:33" ht="13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</row>
    <row r="164" spans="1:33" ht="13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</row>
    <row r="165" spans="1:33" ht="13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</row>
    <row r="166" spans="1:33" ht="13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</row>
    <row r="167" spans="1:33" ht="13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</row>
    <row r="168" spans="1:33" ht="13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</row>
    <row r="169" spans="1:33" ht="13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</row>
    <row r="170" spans="1:33" ht="13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</row>
    <row r="171" spans="1:33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</row>
    <row r="172" spans="1:33" ht="13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</row>
    <row r="173" spans="1:33" ht="13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</row>
    <row r="174" spans="1:33" ht="13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</row>
    <row r="175" spans="1:33" ht="13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</row>
    <row r="176" spans="1:33" ht="13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</row>
    <row r="177" spans="1:33" ht="13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</row>
    <row r="178" spans="1:33" ht="13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</row>
    <row r="179" spans="1:33" ht="13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</row>
    <row r="180" spans="1:33" ht="13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</row>
    <row r="181" spans="1:33" ht="13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</row>
    <row r="182" spans="1:33" ht="13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</row>
    <row r="183" spans="1:33" ht="13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</row>
    <row r="184" spans="1:33" ht="13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</row>
    <row r="185" spans="1:33" ht="13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</row>
    <row r="186" spans="1:33" ht="13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</row>
    <row r="187" spans="1:33" ht="13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</row>
    <row r="188" spans="1:33" ht="13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</row>
    <row r="189" spans="1:33" ht="13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</row>
    <row r="190" spans="1:33" ht="13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</row>
    <row r="191" spans="1:33" ht="13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</row>
    <row r="192" spans="1:33" ht="13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</row>
    <row r="193" spans="1:33" ht="13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</row>
    <row r="194" spans="1:33" ht="13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</row>
    <row r="195" spans="1:33" ht="13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</row>
    <row r="196" spans="1:33" ht="13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</row>
    <row r="197" spans="1:33" ht="13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</row>
    <row r="198" spans="1:33" ht="13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</row>
    <row r="199" spans="1:33" ht="13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</row>
    <row r="200" spans="1:33" ht="13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</row>
    <row r="201" spans="1:33" ht="13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</row>
    <row r="202" spans="1:33" ht="13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</row>
    <row r="203" spans="1:33" ht="13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</row>
    <row r="204" spans="1:33" ht="13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</row>
    <row r="205" spans="1:33" ht="13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</row>
    <row r="206" spans="1:33" ht="13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</row>
    <row r="207" spans="1:33" ht="13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</row>
    <row r="208" spans="1:33" ht="13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</row>
    <row r="209" spans="1:33" ht="13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</row>
    <row r="210" spans="1:33" ht="13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</row>
    <row r="211" spans="1:33" ht="13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</row>
    <row r="212" spans="1:33" ht="13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</row>
    <row r="213" spans="1:33" ht="13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</row>
    <row r="214" spans="1:33" ht="13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</row>
    <row r="215" spans="1:33" ht="13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</row>
    <row r="216" spans="1:33" ht="13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</row>
    <row r="217" spans="1:33" ht="13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</row>
    <row r="218" spans="1:33" ht="13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</row>
    <row r="219" spans="1:33" ht="13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</row>
    <row r="220" spans="1:33" ht="13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</row>
    <row r="221" spans="1:33" ht="13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</row>
    <row r="222" spans="1:33" ht="13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</row>
    <row r="223" spans="1:33" ht="13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</row>
    <row r="224" spans="1:33" ht="13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</row>
    <row r="225" spans="1:33" ht="13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</row>
    <row r="226" spans="1:33" ht="13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</row>
    <row r="227" spans="1:33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</row>
    <row r="228" spans="1:33" ht="13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</row>
    <row r="229" spans="1:33" ht="13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</row>
    <row r="230" spans="1:33" ht="13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</row>
    <row r="231" spans="1:33" ht="13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</row>
    <row r="232" spans="1:33" ht="13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</row>
    <row r="233" spans="1:33" ht="13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</row>
    <row r="234" spans="1:33" ht="13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</row>
    <row r="235" spans="1:33" ht="13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</row>
    <row r="236" spans="1:33" ht="13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</row>
    <row r="237" spans="1:33" ht="13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</row>
    <row r="238" spans="1:33" ht="13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</row>
    <row r="239" spans="1:33" ht="13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</row>
    <row r="240" spans="1:33" ht="13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</row>
    <row r="241" spans="1:33" ht="13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</row>
    <row r="242" spans="1:33" ht="13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</row>
    <row r="243" spans="1:33" ht="13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</row>
    <row r="244" spans="1:33" ht="13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</row>
    <row r="245" spans="1:33" ht="13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</row>
    <row r="246" spans="1:33" ht="13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</row>
    <row r="247" spans="1:33" ht="13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</row>
    <row r="248" spans="1:33" ht="13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</row>
    <row r="249" spans="1:33" ht="13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</row>
    <row r="250" spans="1:33" ht="13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</row>
    <row r="251" spans="1:33" ht="13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</row>
    <row r="252" spans="1:33" ht="13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</row>
    <row r="253" spans="1:33" ht="13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</row>
    <row r="254" spans="1:33" ht="13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</row>
    <row r="255" spans="1:33" ht="13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</row>
    <row r="256" spans="1:33" ht="13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</row>
    <row r="257" spans="1:33" ht="13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</row>
    <row r="258" spans="1:33" ht="13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</row>
    <row r="259" spans="1:33" ht="13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</row>
    <row r="260" spans="1:33" ht="13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</row>
    <row r="261" spans="1:33" ht="13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</row>
    <row r="262" spans="1:33" ht="13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</row>
    <row r="263" spans="1:33" ht="13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</row>
    <row r="264" spans="1:33" ht="13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</row>
    <row r="265" spans="1:33" ht="13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</row>
    <row r="266" spans="1:33" ht="13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</row>
    <row r="267" spans="1:33" ht="13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</row>
    <row r="268" spans="1:33" ht="13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</row>
    <row r="269" spans="1:33" ht="13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</row>
    <row r="270" spans="1:33" ht="13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</row>
    <row r="271" spans="1:33" ht="13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</row>
    <row r="272" spans="1:33" ht="13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</row>
    <row r="273" spans="1:33" ht="13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</row>
    <row r="274" spans="1:33" ht="13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</row>
    <row r="275" spans="1:33" ht="13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</row>
    <row r="276" spans="1:33" ht="13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</row>
    <row r="277" spans="1:33" ht="13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</row>
    <row r="278" spans="1:33" ht="13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</row>
    <row r="279" spans="1:33" ht="13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</row>
    <row r="280" spans="1:33" ht="13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</row>
    <row r="281" spans="1:33" ht="13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</row>
    <row r="282" spans="1:33" ht="13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</row>
    <row r="283" spans="1:33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</row>
    <row r="284" spans="1:33" ht="13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</row>
    <row r="285" spans="1:33" ht="13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</row>
    <row r="286" spans="1:33" ht="13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</row>
    <row r="287" spans="1:33" ht="13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</row>
    <row r="288" spans="1:33" ht="13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</row>
    <row r="289" spans="1:33" ht="13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</row>
    <row r="290" spans="1:33" ht="13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</row>
    <row r="291" spans="1:33" ht="13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</row>
    <row r="292" spans="1:33" ht="13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</row>
    <row r="293" spans="1:33" ht="13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</row>
    <row r="294" spans="1:33" ht="13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</row>
    <row r="295" spans="1:33" ht="13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</row>
    <row r="296" spans="1:33" ht="13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</row>
    <row r="297" spans="1:33" ht="13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</row>
    <row r="298" spans="1:33" ht="13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</row>
    <row r="299" spans="1:33" ht="13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</row>
    <row r="300" spans="1:33" ht="13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</row>
    <row r="301" spans="1:33" ht="13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</row>
    <row r="302" spans="1:33" ht="13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</row>
    <row r="303" spans="1:33" ht="13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</row>
    <row r="304" spans="1:33" ht="13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</row>
    <row r="305" spans="1:33" ht="13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</row>
    <row r="306" spans="1:33" ht="13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</row>
    <row r="307" spans="1:33" ht="13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</row>
    <row r="308" spans="1:33" ht="13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</row>
    <row r="309" spans="1:33" ht="13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</row>
    <row r="310" spans="1:33" ht="13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</row>
    <row r="311" spans="1:33" ht="13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</row>
    <row r="312" spans="1:33" ht="13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</row>
    <row r="313" spans="1:33" ht="13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</row>
    <row r="314" spans="1:33" ht="13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</row>
    <row r="315" spans="1:33" ht="13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</row>
    <row r="316" spans="1:33" ht="13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</row>
    <row r="317" spans="1:33" ht="13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</row>
    <row r="318" spans="1:33" ht="13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</row>
    <row r="319" spans="1:33" ht="13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</row>
    <row r="320" spans="1:33" ht="13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</row>
    <row r="321" spans="1:33" ht="13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</row>
    <row r="322" spans="1:33" ht="13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</row>
    <row r="323" spans="1:33" ht="13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</row>
    <row r="324" spans="1:33" ht="13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</row>
    <row r="325" spans="1:33" ht="13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</row>
    <row r="326" spans="1:33" ht="13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</row>
    <row r="327" spans="1:33" ht="13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</row>
    <row r="328" spans="1:33" ht="13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</row>
    <row r="329" spans="1:33" ht="13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</row>
    <row r="330" spans="1:33" ht="13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</row>
    <row r="331" spans="1:33" ht="13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</row>
    <row r="332" spans="1:33" ht="13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</row>
    <row r="333" spans="1:33" ht="13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</row>
    <row r="334" spans="1:33" ht="13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</row>
    <row r="335" spans="1:33" ht="13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</row>
    <row r="336" spans="1:33" ht="13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</row>
    <row r="337" spans="1:33" ht="13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</row>
    <row r="338" spans="1:33" ht="13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</row>
    <row r="339" spans="1:33" ht="13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</row>
    <row r="340" spans="1:33" ht="13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</row>
    <row r="341" spans="1:33" ht="13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</row>
    <row r="342" spans="1:33" ht="13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</row>
    <row r="343" spans="1:33" ht="13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</row>
    <row r="344" spans="1:33" ht="13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</row>
    <row r="345" spans="1:33" ht="13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</row>
    <row r="346" spans="1:33" ht="13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</row>
    <row r="347" spans="1:33" ht="13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</row>
    <row r="348" spans="1:33" ht="13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</row>
    <row r="349" spans="1:33" ht="13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</row>
    <row r="350" spans="1:33" ht="13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</row>
    <row r="351" spans="1:33" ht="13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</row>
    <row r="352" spans="1:33" ht="13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</row>
    <row r="353" spans="1:33" ht="13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</row>
    <row r="354" spans="1:33" ht="13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</row>
    <row r="355" spans="1:33" ht="13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</row>
    <row r="356" spans="1:33" ht="13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</row>
    <row r="357" spans="1:33" ht="13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</row>
    <row r="358" spans="1:33" ht="13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</row>
    <row r="359" spans="1:33" ht="13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</row>
    <row r="360" spans="1:33" ht="13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</row>
    <row r="361" spans="1:33" ht="13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</row>
    <row r="362" spans="1:33" ht="13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</row>
    <row r="363" spans="1:33" ht="13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</row>
    <row r="364" spans="1:33" ht="13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</row>
    <row r="365" spans="1:33" ht="13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</row>
    <row r="366" spans="1:33" ht="13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</row>
    <row r="367" spans="1:33" ht="13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</row>
    <row r="368" spans="1:33" ht="13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</row>
    <row r="369" spans="1:33" ht="13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ht="13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</row>
    <row r="371" spans="1:33" ht="13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</row>
    <row r="372" spans="1:33" ht="13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</row>
    <row r="373" spans="1:33" ht="13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</row>
    <row r="374" spans="1:33" ht="13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</row>
    <row r="375" spans="1:33" ht="13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</row>
    <row r="376" spans="1:33" ht="13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</row>
    <row r="377" spans="1:33" ht="13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</row>
    <row r="378" spans="1:33" ht="13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</row>
    <row r="379" spans="1:33" ht="13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</row>
    <row r="380" spans="1:33" ht="13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</row>
    <row r="381" spans="1:33" ht="13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</row>
    <row r="382" spans="1:33" ht="13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</row>
    <row r="383" spans="1:33" ht="13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</row>
    <row r="384" spans="1:33" ht="13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</row>
    <row r="385" spans="1:33" ht="13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</row>
    <row r="386" spans="1:33" ht="13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</row>
    <row r="387" spans="1:33" ht="13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</row>
    <row r="388" spans="1:33" ht="13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</row>
    <row r="389" spans="1:33" ht="13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</row>
    <row r="390" spans="1:33" ht="13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</row>
    <row r="391" spans="1:33" ht="13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</row>
    <row r="392" spans="1:33" ht="13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</row>
    <row r="393" spans="1:33" ht="13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</row>
    <row r="394" spans="1:33" ht="13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</row>
    <row r="395" spans="1:33" ht="13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</row>
    <row r="396" spans="1:33" ht="13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</row>
    <row r="397" spans="1:33" ht="13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</row>
    <row r="398" spans="1:33" ht="13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</row>
    <row r="399" spans="1:33" ht="13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</row>
    <row r="400" spans="1:33" ht="13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</row>
    <row r="401" spans="1:33" ht="13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</row>
    <row r="402" spans="1:33" ht="13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</row>
    <row r="403" spans="1:33" ht="13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</row>
    <row r="404" spans="1:33" ht="13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</row>
    <row r="405" spans="1:33" ht="13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</row>
    <row r="406" spans="1:33" ht="13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</row>
    <row r="407" spans="1:33" ht="13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</row>
    <row r="408" spans="1:33" ht="13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</row>
    <row r="409" spans="1:33" ht="13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</row>
    <row r="410" spans="1:33" ht="13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</row>
    <row r="411" spans="1:33" ht="13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</row>
    <row r="412" spans="1:33" ht="13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</row>
    <row r="413" spans="1:33" ht="13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</row>
    <row r="414" spans="1:33" ht="13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</row>
    <row r="415" spans="1:33" ht="13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</row>
    <row r="416" spans="1:33" ht="13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</row>
    <row r="417" spans="1:33" ht="13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</row>
    <row r="418" spans="1:33" ht="13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</row>
    <row r="419" spans="1:33" ht="13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</row>
    <row r="420" spans="1:33" ht="13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</row>
    <row r="421" spans="1:33" ht="13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</row>
    <row r="422" spans="1:33" ht="13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</row>
    <row r="423" spans="1:33" ht="13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</row>
    <row r="424" spans="1:33" ht="13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</row>
    <row r="425" spans="1:33" ht="13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</row>
    <row r="426" spans="1:33" ht="13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</row>
    <row r="427" spans="1:33" ht="13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</row>
    <row r="428" spans="1:33" ht="13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</row>
    <row r="429" spans="1:33" ht="13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</row>
    <row r="430" spans="1:33" ht="13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</row>
    <row r="431" spans="1:33" ht="13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</row>
    <row r="432" spans="1:33" ht="13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</row>
    <row r="433" spans="1:33" ht="13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</row>
    <row r="434" spans="1:33" ht="13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</row>
    <row r="435" spans="1:33" ht="13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</row>
    <row r="436" spans="1:33" ht="13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</row>
    <row r="437" spans="1:33" ht="13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</row>
    <row r="438" spans="1:33" ht="13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</row>
    <row r="439" spans="1:33" ht="13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</row>
    <row r="440" spans="1:33" ht="13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</row>
    <row r="441" spans="1:33" ht="13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</row>
    <row r="442" spans="1:33" ht="13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</row>
    <row r="443" spans="1:33" ht="13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</row>
    <row r="444" spans="1:33" ht="13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</row>
    <row r="445" spans="1:33" ht="13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</row>
    <row r="446" spans="1:33" ht="13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</row>
    <row r="447" spans="1:33" ht="13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</row>
    <row r="448" spans="1:33" ht="13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</row>
    <row r="449" spans="1:33" ht="13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</row>
    <row r="450" spans="1:33" ht="13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</row>
    <row r="451" spans="1:33" ht="13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</row>
    <row r="452" spans="1:33" ht="13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</row>
    <row r="453" spans="1:33" ht="13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</row>
    <row r="454" spans="1:33" ht="13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</row>
    <row r="455" spans="1:33" ht="13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</row>
    <row r="456" spans="1:33" ht="13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</row>
    <row r="457" spans="1:33" ht="13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</row>
    <row r="458" spans="1:33" ht="13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</row>
    <row r="459" spans="1:33" ht="13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</row>
    <row r="460" spans="1:33" ht="13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</row>
    <row r="461" spans="1:33" ht="13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</row>
    <row r="462" spans="1:33" ht="13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</row>
    <row r="463" spans="1:33" ht="13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</row>
    <row r="464" spans="1:33" ht="13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</row>
    <row r="465" spans="1:33" ht="13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</row>
    <row r="466" spans="1:33" ht="13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</row>
    <row r="467" spans="1:33" ht="13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</row>
    <row r="468" spans="1:33" ht="13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</row>
    <row r="469" spans="1:33" ht="13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</row>
    <row r="470" spans="1:33" ht="13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</row>
    <row r="471" spans="1:33" ht="13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</row>
    <row r="472" spans="1:33" ht="13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</row>
    <row r="473" spans="1:33" ht="13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</row>
    <row r="474" spans="1:33" ht="13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</row>
    <row r="475" spans="1:33" ht="13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</row>
    <row r="476" spans="1:33" ht="13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</row>
    <row r="477" spans="1:33" ht="13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</row>
    <row r="478" spans="1:33" ht="13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</row>
    <row r="479" spans="1:33" ht="13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</row>
    <row r="480" spans="1:33" ht="13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</row>
    <row r="481" spans="1:33" ht="13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</row>
    <row r="482" spans="1:33" ht="13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</row>
    <row r="483" spans="1:33" ht="13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</row>
    <row r="484" spans="1:33" ht="13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</row>
    <row r="485" spans="1:33" ht="13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</row>
    <row r="486" spans="1:33" ht="13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</row>
    <row r="487" spans="1:33" ht="13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</row>
    <row r="488" spans="1:33" ht="13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</row>
    <row r="489" spans="1:33" ht="13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</row>
    <row r="490" spans="1:33" ht="13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</row>
    <row r="491" spans="1:33" ht="13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</row>
    <row r="492" spans="1:33" ht="13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</row>
    <row r="493" spans="1:33" ht="13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</row>
    <row r="494" spans="1:33" ht="13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</row>
    <row r="495" spans="1:33" ht="13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</row>
    <row r="496" spans="1:33" ht="13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</row>
    <row r="497" spans="1:33" ht="13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</row>
    <row r="498" spans="1:33" ht="13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</row>
    <row r="499" spans="1:33" ht="13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</row>
    <row r="500" spans="1:33" ht="13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spans="1:33" ht="13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</row>
    <row r="502" spans="1:33" ht="13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</row>
    <row r="503" spans="1:33" ht="13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</row>
    <row r="504" spans="1:33" ht="13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</row>
    <row r="505" spans="1:33" ht="13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</row>
    <row r="506" spans="1:33" ht="13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</row>
    <row r="507" spans="1:33" ht="13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</row>
    <row r="508" spans="1:33" ht="13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</row>
    <row r="509" spans="1:33" ht="13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</row>
    <row r="510" spans="1:33" ht="13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</row>
    <row r="511" spans="1:33" ht="13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</row>
    <row r="512" spans="1:33" ht="13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</row>
    <row r="513" spans="1:33" ht="13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</row>
    <row r="514" spans="1:33" ht="13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</row>
    <row r="515" spans="1:33" ht="13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</row>
    <row r="516" spans="1:33" ht="13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</row>
    <row r="517" spans="1:33" ht="13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</row>
    <row r="518" spans="1:33" ht="13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</row>
    <row r="519" spans="1:33" ht="13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</row>
    <row r="520" spans="1:33" ht="13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</row>
    <row r="521" spans="1:33" ht="13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</row>
    <row r="522" spans="1:33" ht="13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</row>
    <row r="523" spans="1:33" ht="13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</row>
    <row r="524" spans="1:33" ht="13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</row>
    <row r="525" spans="1:33" ht="13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</row>
    <row r="526" spans="1:33" ht="13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</row>
    <row r="527" spans="1:33" ht="13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</row>
    <row r="528" spans="1:33" ht="13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</row>
    <row r="529" spans="1:33" ht="13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</row>
    <row r="530" spans="1:33" ht="13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</row>
    <row r="531" spans="1:33" ht="13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</row>
    <row r="532" spans="1:33" ht="13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</row>
    <row r="533" spans="1:33" ht="13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</row>
    <row r="534" spans="1:33" ht="13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</row>
    <row r="535" spans="1:33" ht="13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</row>
    <row r="536" spans="1:33" ht="13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</row>
    <row r="537" spans="1:33" ht="13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</row>
    <row r="538" spans="1:33" ht="13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</row>
    <row r="539" spans="1:33" ht="13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</row>
    <row r="540" spans="1:33" ht="13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</row>
    <row r="541" spans="1:33" ht="13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</row>
    <row r="542" spans="1:33" ht="13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</row>
    <row r="543" spans="1:33" ht="13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</row>
    <row r="544" spans="1:33" ht="13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</row>
    <row r="545" spans="1:33" ht="13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</row>
    <row r="546" spans="1:33" ht="13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</row>
    <row r="547" spans="1:33" ht="13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</row>
    <row r="548" spans="1:33" ht="13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</row>
    <row r="549" spans="1:33" ht="13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</row>
    <row r="550" spans="1:33" ht="13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</row>
    <row r="551" spans="1:33" ht="13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</row>
    <row r="552" spans="1:33" ht="13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</row>
    <row r="553" spans="1:33" ht="13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</row>
    <row r="554" spans="1:33" ht="13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</row>
    <row r="555" spans="1:33" ht="13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</row>
    <row r="556" spans="1:33" ht="13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</row>
    <row r="557" spans="1:33" ht="13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</row>
    <row r="558" spans="1:33" ht="13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</row>
    <row r="559" spans="1:33" ht="13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</row>
    <row r="560" spans="1:33" ht="13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</row>
    <row r="561" spans="1:33" ht="13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</row>
    <row r="562" spans="1:33" ht="13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</row>
    <row r="563" spans="1:33" ht="13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</row>
    <row r="564" spans="1:33" ht="13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</row>
    <row r="565" spans="1:33" ht="13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</row>
    <row r="566" spans="1:33" ht="13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</row>
    <row r="567" spans="1:33" ht="13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</row>
    <row r="568" spans="1:33" ht="13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</row>
    <row r="569" spans="1:33" ht="13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</row>
    <row r="570" spans="1:33" ht="13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</row>
    <row r="571" spans="1:33" ht="13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</row>
    <row r="572" spans="1:33" ht="13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</row>
    <row r="573" spans="1:33" ht="13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</row>
    <row r="574" spans="1:33" ht="13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</row>
    <row r="575" spans="1:33" ht="13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</row>
    <row r="576" spans="1:33" ht="13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</row>
    <row r="577" spans="1:33" ht="13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</row>
    <row r="578" spans="1:33" ht="13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</row>
    <row r="579" spans="1:33" ht="13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</row>
    <row r="580" spans="1:33" ht="13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</row>
    <row r="581" spans="1:33" ht="13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</row>
    <row r="582" spans="1:33" ht="13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</row>
    <row r="583" spans="1:33" ht="13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</row>
    <row r="584" spans="1:33" ht="13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</row>
    <row r="585" spans="1:33" ht="13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</row>
    <row r="586" spans="1:33" ht="13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</row>
    <row r="587" spans="1:33" ht="13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</row>
    <row r="588" spans="1:33" ht="13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</row>
    <row r="589" spans="1:33" ht="13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</row>
    <row r="590" spans="1:33" ht="13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</row>
    <row r="591" spans="1:33" ht="13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</row>
    <row r="592" spans="1:33" ht="13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</row>
    <row r="593" spans="1:33" ht="13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</row>
    <row r="594" spans="1:33" ht="13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</row>
    <row r="595" spans="1:33" ht="13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</row>
    <row r="596" spans="1:33" ht="13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</row>
    <row r="597" spans="1:33" ht="13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</row>
    <row r="598" spans="1:33" ht="13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</row>
    <row r="599" spans="1:33" ht="13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</row>
    <row r="600" spans="1:33" ht="13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</row>
    <row r="601" spans="1:33" ht="13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</row>
    <row r="602" spans="1:33" ht="13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</row>
    <row r="603" spans="1:33" ht="13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</row>
    <row r="604" spans="1:33" ht="13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</row>
    <row r="605" spans="1:33" ht="13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</row>
    <row r="606" spans="1:33" ht="13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</row>
    <row r="607" spans="1:33" ht="13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</row>
    <row r="608" spans="1:33" ht="13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</row>
    <row r="609" spans="1:33" ht="13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</row>
    <row r="610" spans="1:33" ht="13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</row>
    <row r="611" spans="1:33" ht="13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</row>
    <row r="612" spans="1:33" ht="13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</row>
    <row r="613" spans="1:33" ht="13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</row>
    <row r="614" spans="1:33" ht="13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</row>
    <row r="615" spans="1:33" ht="13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</row>
    <row r="616" spans="1:33" ht="13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</row>
    <row r="617" spans="1:33" ht="13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</row>
    <row r="618" spans="1:33" ht="13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</row>
    <row r="619" spans="1:33" ht="13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</row>
    <row r="620" spans="1:33" ht="13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</row>
    <row r="621" spans="1:33" ht="13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</row>
    <row r="622" spans="1:33" ht="13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</row>
    <row r="623" spans="1:33" ht="13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</row>
    <row r="624" spans="1:33" ht="13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</row>
    <row r="625" spans="1:33" ht="13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</row>
    <row r="626" spans="1:33" ht="13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</row>
    <row r="627" spans="1:33" ht="13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</row>
    <row r="628" spans="1:33" ht="13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</row>
    <row r="629" spans="1:33" ht="13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</row>
    <row r="630" spans="1:33" ht="13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</row>
    <row r="631" spans="1:33" ht="13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</row>
    <row r="632" spans="1:33" ht="13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</row>
    <row r="633" spans="1:33" ht="13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</row>
    <row r="634" spans="1:33" ht="13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</row>
    <row r="635" spans="1:33" ht="13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</row>
    <row r="636" spans="1:33" ht="13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</row>
    <row r="637" spans="1:33" ht="13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</row>
    <row r="638" spans="1:33" ht="13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</row>
    <row r="639" spans="1:33" ht="13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</row>
    <row r="640" spans="1:33" ht="13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</row>
    <row r="641" spans="1:33" ht="13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</row>
    <row r="642" spans="1:33" ht="13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</row>
    <row r="643" spans="1:33" ht="13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</row>
    <row r="644" spans="1:33" ht="13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</row>
    <row r="645" spans="1:33" ht="13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</row>
    <row r="646" spans="1:33" ht="13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</row>
    <row r="647" spans="1:33" ht="13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</row>
    <row r="648" spans="1:33" ht="13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</row>
    <row r="649" spans="1:33" ht="13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</row>
    <row r="650" spans="1:33" ht="13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</row>
    <row r="651" spans="1:33" ht="13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</row>
    <row r="652" spans="1:33" ht="13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</row>
    <row r="653" spans="1:33" ht="13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</row>
    <row r="654" spans="1:33" ht="13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</row>
    <row r="655" spans="1:33" ht="13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</row>
    <row r="656" spans="1:33" ht="13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</row>
    <row r="657" spans="1:33" ht="13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</row>
    <row r="658" spans="1:33" ht="13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</row>
    <row r="659" spans="1:33" ht="13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</row>
    <row r="660" spans="1:33" ht="13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</row>
    <row r="661" spans="1:33" ht="13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</row>
    <row r="662" spans="1:33" ht="13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</row>
    <row r="663" spans="1:33" ht="13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</row>
    <row r="664" spans="1:33" ht="13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</row>
    <row r="665" spans="1:33" ht="13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</row>
    <row r="666" spans="1:33" ht="13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</row>
    <row r="667" spans="1:33" ht="13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</row>
    <row r="668" spans="1:33" ht="13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</row>
    <row r="669" spans="1:33" ht="13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</row>
    <row r="670" spans="1:33" ht="13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</row>
    <row r="671" spans="1:33" ht="13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</row>
    <row r="672" spans="1:33" ht="13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</row>
    <row r="673" spans="1:33" ht="13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</row>
    <row r="674" spans="1:33" ht="13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</row>
    <row r="675" spans="1:33" ht="13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</row>
    <row r="676" spans="1:33" ht="13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</row>
    <row r="677" spans="1:33" ht="13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</row>
    <row r="678" spans="1:33" ht="13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</row>
    <row r="679" spans="1:33" ht="13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</row>
    <row r="680" spans="1:33" ht="13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</row>
    <row r="681" spans="1:33" ht="13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</row>
    <row r="682" spans="1:33" ht="13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</row>
    <row r="683" spans="1:33" ht="13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</row>
    <row r="684" spans="1:33" ht="13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</row>
    <row r="685" spans="1:33" ht="13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</row>
    <row r="686" spans="1:33" ht="13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</row>
    <row r="687" spans="1:33" ht="13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</row>
    <row r="688" spans="1:33" ht="13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</row>
    <row r="689" spans="1:33" ht="13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</row>
    <row r="690" spans="1:33" ht="13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</row>
    <row r="691" spans="1:33" ht="13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</row>
    <row r="692" spans="1:33" ht="13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</row>
    <row r="693" spans="1:33" ht="13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</row>
    <row r="694" spans="1:33" ht="13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</row>
    <row r="695" spans="1:33" ht="13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</row>
    <row r="696" spans="1:33" ht="13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</row>
    <row r="697" spans="1:33" ht="13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</row>
    <row r="698" spans="1:33" ht="13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</row>
    <row r="699" spans="1:33" ht="13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</row>
    <row r="700" spans="1:33" ht="13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</row>
    <row r="701" spans="1:33" ht="13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</row>
    <row r="702" spans="1:33" ht="13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</row>
    <row r="703" spans="1:33" ht="13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</row>
    <row r="704" spans="1:33" ht="13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</row>
    <row r="705" spans="1:33" ht="13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</row>
    <row r="706" spans="1:33" ht="13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</row>
    <row r="707" spans="1:33" ht="13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</row>
    <row r="708" spans="1:33" ht="13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</row>
    <row r="709" spans="1:33" ht="13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</row>
    <row r="710" spans="1:33" ht="13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</row>
    <row r="711" spans="1:33" ht="13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</row>
    <row r="712" spans="1:33" ht="13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</row>
    <row r="713" spans="1:33" ht="13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</row>
    <row r="714" spans="1:33" ht="13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</row>
    <row r="715" spans="1:33" ht="13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</row>
    <row r="716" spans="1:33" ht="13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</row>
    <row r="717" spans="1:33" ht="13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</row>
    <row r="718" spans="1:33" ht="13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</row>
    <row r="719" spans="1:33" ht="13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</row>
    <row r="720" spans="1:33" ht="13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</row>
    <row r="721" spans="1:33" ht="13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</row>
    <row r="722" spans="1:33" ht="13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</row>
    <row r="723" spans="1:33" ht="13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</row>
    <row r="724" spans="1:33" ht="13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</row>
    <row r="725" spans="1:33" ht="13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</row>
    <row r="726" spans="1:33" ht="13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</row>
    <row r="727" spans="1:33" ht="13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</row>
    <row r="728" spans="1:33" ht="13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</row>
    <row r="729" spans="1:33" ht="13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</row>
    <row r="730" spans="1:33" ht="13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</row>
    <row r="731" spans="1:33" ht="13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</row>
    <row r="732" spans="1:33" ht="13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</row>
    <row r="733" spans="1:33" ht="13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</row>
    <row r="734" spans="1:33" ht="13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</row>
    <row r="735" spans="1:33" ht="13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</row>
    <row r="736" spans="1:33" ht="13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</row>
    <row r="737" spans="1:33" ht="13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</row>
    <row r="738" spans="1:33" ht="13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</row>
    <row r="739" spans="1:33" ht="13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</row>
    <row r="740" spans="1:33" ht="13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</row>
    <row r="741" spans="1:33" ht="13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</row>
    <row r="742" spans="1:33" ht="13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</row>
    <row r="743" spans="1:33" ht="13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</row>
    <row r="744" spans="1:33" ht="13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</row>
    <row r="745" spans="1:33" ht="13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</row>
    <row r="746" spans="1:33" ht="13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</row>
    <row r="747" spans="1:33" ht="13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</row>
    <row r="748" spans="1:33" ht="13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</row>
    <row r="749" spans="1:33" ht="13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</row>
    <row r="750" spans="1:33" ht="13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</row>
    <row r="751" spans="1:33" ht="13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</row>
    <row r="752" spans="1:33" ht="13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</row>
    <row r="753" spans="1:33" ht="13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</row>
    <row r="754" spans="1:33" ht="13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</row>
    <row r="755" spans="1:33" ht="13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</row>
    <row r="756" spans="1:33" ht="13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</row>
    <row r="757" spans="1:33" ht="13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</row>
    <row r="758" spans="1:33" ht="13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</row>
    <row r="759" spans="1:33" ht="13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</row>
    <row r="760" spans="1:33" ht="13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</row>
    <row r="761" spans="1:33" ht="13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</row>
    <row r="762" spans="1:33" ht="13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</row>
    <row r="763" spans="1:33" ht="13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</row>
    <row r="764" spans="1:33" ht="13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</row>
    <row r="765" spans="1:33" ht="13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</row>
    <row r="766" spans="1:33" ht="13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</row>
    <row r="767" spans="1:33" ht="13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</row>
    <row r="768" spans="1:33" ht="13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</row>
    <row r="769" spans="1:33" ht="13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</row>
    <row r="770" spans="1:33" ht="13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</row>
    <row r="771" spans="1:33" ht="13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</row>
    <row r="772" spans="1:33" ht="13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</row>
    <row r="773" spans="1:33" ht="13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</row>
    <row r="774" spans="1:33" ht="13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</row>
    <row r="775" spans="1:33" ht="13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</row>
    <row r="776" spans="1:33" ht="13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</row>
    <row r="777" spans="1:33" ht="13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</row>
    <row r="778" spans="1:33" ht="13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</row>
    <row r="779" spans="1:33" ht="13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</row>
    <row r="780" spans="1:33" ht="13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</row>
    <row r="781" spans="1:33" ht="13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</row>
    <row r="782" spans="1:33" ht="13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</row>
    <row r="783" spans="1:33" ht="13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</row>
    <row r="784" spans="1:33" ht="13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</row>
    <row r="785" spans="1:33" ht="13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</row>
    <row r="786" spans="1:33" ht="13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</row>
    <row r="787" spans="1:33" ht="13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</row>
    <row r="788" spans="1:33" ht="13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</row>
    <row r="789" spans="1:33" ht="13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</row>
    <row r="790" spans="1:33" ht="13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</row>
    <row r="791" spans="1:33" ht="13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</row>
    <row r="792" spans="1:33" ht="13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</row>
    <row r="793" spans="1:33" ht="13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</row>
    <row r="794" spans="1:33" ht="13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</row>
    <row r="795" spans="1:33" ht="13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</row>
    <row r="796" spans="1:33" ht="13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</row>
    <row r="797" spans="1:33" ht="13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</row>
    <row r="798" spans="1:33" ht="13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</row>
    <row r="799" spans="1:33" ht="13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</row>
    <row r="800" spans="1:33" ht="13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</row>
    <row r="801" spans="1:33" ht="13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</row>
    <row r="802" spans="1:33" ht="13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</row>
    <row r="803" spans="1:33" ht="13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</row>
    <row r="804" spans="1:33" ht="13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</row>
    <row r="805" spans="1:33" ht="13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</row>
    <row r="806" spans="1:33" ht="13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</row>
    <row r="807" spans="1:33" ht="13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</row>
    <row r="808" spans="1:33" ht="13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</row>
    <row r="809" spans="1:33" ht="13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</row>
    <row r="810" spans="1:33" ht="13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</row>
    <row r="811" spans="1:33" ht="13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</row>
    <row r="812" spans="1:33" ht="13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</row>
    <row r="813" spans="1:33" ht="13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</row>
    <row r="814" spans="1:33" ht="13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</row>
    <row r="815" spans="1:33" ht="13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</row>
    <row r="816" spans="1:33" ht="13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</row>
    <row r="817" spans="1:33" ht="13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</row>
    <row r="818" spans="1:33" ht="13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</row>
    <row r="819" spans="1:33" ht="13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</row>
    <row r="820" spans="1:33" ht="13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</row>
    <row r="821" spans="1:33" ht="13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</row>
    <row r="822" spans="1:33" ht="13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</row>
    <row r="823" spans="1:33" ht="13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</row>
    <row r="824" spans="1:33" ht="13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</row>
    <row r="825" spans="1:33" ht="13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</row>
    <row r="826" spans="1:33" ht="13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</row>
    <row r="827" spans="1:33" ht="13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</row>
    <row r="828" spans="1:33" ht="13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</row>
    <row r="829" spans="1:33" ht="13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</row>
    <row r="830" spans="1:33" ht="13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</row>
    <row r="831" spans="1:33" ht="13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</row>
    <row r="832" spans="1:33" ht="13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</row>
    <row r="833" spans="1:33" ht="13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</row>
    <row r="834" spans="1:33" ht="13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</row>
    <row r="835" spans="1:33" ht="13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</row>
    <row r="836" spans="1:33" ht="13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</row>
    <row r="837" spans="1:33" ht="13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</row>
    <row r="838" spans="1:33" ht="13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</row>
    <row r="839" spans="1:33" ht="13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</row>
    <row r="840" spans="1:33" ht="13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</row>
    <row r="841" spans="1:33" ht="13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</row>
    <row r="842" spans="1:33" ht="13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</row>
    <row r="843" spans="1:33" ht="13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</row>
    <row r="844" spans="1:33" ht="13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</row>
    <row r="845" spans="1:33" ht="13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</row>
    <row r="846" spans="1:33" ht="13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</row>
    <row r="847" spans="1:33" ht="13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</row>
    <row r="848" spans="1:33" ht="13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</row>
    <row r="849" spans="1:33" ht="13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</row>
    <row r="850" spans="1:33" ht="13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</row>
    <row r="851" spans="1:33" ht="13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</row>
    <row r="852" spans="1:33" ht="13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</row>
    <row r="853" spans="1:33" ht="13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</row>
    <row r="854" spans="1:33" ht="13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</row>
    <row r="855" spans="1:33" ht="13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</row>
    <row r="856" spans="1:33" ht="13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</row>
    <row r="857" spans="1:33" ht="13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</row>
    <row r="858" spans="1:33" ht="13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</row>
    <row r="859" spans="1:33" ht="13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</row>
    <row r="860" spans="1:33" ht="13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</row>
    <row r="861" spans="1:33" ht="13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</row>
    <row r="862" spans="1:33" ht="13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</row>
    <row r="863" spans="1:33" ht="13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</row>
    <row r="864" spans="1:33" ht="13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</row>
    <row r="865" spans="1:33" ht="13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</row>
    <row r="866" spans="1:33" ht="13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</row>
    <row r="867" spans="1:33" ht="13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</row>
    <row r="868" spans="1:33" ht="13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</row>
    <row r="869" spans="1:33" ht="13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</row>
    <row r="870" spans="1:33" ht="13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</row>
    <row r="871" spans="1:33" ht="13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</row>
    <row r="872" spans="1:33" ht="13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</row>
    <row r="873" spans="1:33" ht="13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</row>
    <row r="874" spans="1:33" ht="13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</row>
    <row r="875" spans="1:33" ht="13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</row>
    <row r="876" spans="1:33" ht="13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</row>
    <row r="877" spans="1:33" ht="13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</row>
    <row r="878" spans="1:33" ht="13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</row>
    <row r="879" spans="1:33" ht="13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</row>
    <row r="880" spans="1:33" ht="13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</row>
    <row r="881" spans="1:33" ht="13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</row>
    <row r="882" spans="1:33" ht="13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</row>
    <row r="883" spans="1:33" ht="13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</row>
    <row r="884" spans="1:33" ht="13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</row>
    <row r="885" spans="1:33" ht="13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</row>
    <row r="886" spans="1:33" ht="13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</row>
    <row r="887" spans="1:33" ht="13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</row>
    <row r="888" spans="1:33" ht="13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</row>
    <row r="889" spans="1:33" ht="13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</row>
    <row r="890" spans="1:33" ht="13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</row>
    <row r="891" spans="1:33" ht="13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</row>
    <row r="892" spans="1:33" ht="13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</row>
    <row r="893" spans="1:33" ht="13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</row>
    <row r="894" spans="1:33" ht="13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</row>
    <row r="895" spans="1:33" ht="13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</row>
    <row r="896" spans="1:33" ht="13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</row>
    <row r="897" spans="1:33" ht="13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</row>
    <row r="898" spans="1:33" ht="13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</row>
    <row r="899" spans="1:33" ht="13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</row>
    <row r="900" spans="1:33" ht="13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</row>
    <row r="901" spans="1:33" ht="13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</row>
    <row r="902" spans="1:33" ht="13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</row>
    <row r="903" spans="1:33" ht="13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</row>
    <row r="904" spans="1:33" ht="13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</row>
    <row r="905" spans="1:33" ht="13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</row>
    <row r="906" spans="1:33" ht="13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</row>
    <row r="907" spans="1:33" ht="13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</row>
    <row r="908" spans="1:33" ht="13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</row>
    <row r="909" spans="1:33" ht="13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</row>
    <row r="910" spans="1:33" ht="13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</row>
    <row r="911" spans="1:33" ht="13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</row>
    <row r="912" spans="1:33" ht="13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</row>
    <row r="913" spans="1:33" ht="13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</row>
    <row r="914" spans="1:33" ht="13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</row>
    <row r="915" spans="1:33" ht="13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</row>
    <row r="916" spans="1:33" ht="13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</row>
    <row r="917" spans="1:33" ht="13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</row>
    <row r="918" spans="1:33" ht="13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</row>
    <row r="919" spans="1:33" ht="13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</row>
    <row r="920" spans="1:33" ht="13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</row>
    <row r="921" spans="1:33" ht="13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</row>
    <row r="922" spans="1:33" ht="13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</row>
    <row r="923" spans="1:33" ht="13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</row>
    <row r="924" spans="1:33" ht="13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</row>
    <row r="925" spans="1:33" ht="13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</row>
    <row r="926" spans="1:33" ht="13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</row>
    <row r="927" spans="1:33" ht="13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</row>
    <row r="928" spans="1:33" ht="13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</row>
    <row r="929" spans="1:33" ht="13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</row>
    <row r="930" spans="1:33" ht="13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</row>
    <row r="931" spans="1:33" ht="13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</row>
    <row r="932" spans="1:33" ht="13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</row>
    <row r="933" spans="1:33" ht="13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</row>
    <row r="934" spans="1:33" ht="13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</row>
    <row r="935" spans="1:33" ht="13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</row>
    <row r="936" spans="1:33" ht="13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</row>
    <row r="937" spans="1:33" ht="13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</row>
    <row r="938" spans="1:33" ht="13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</row>
    <row r="939" spans="1:33" ht="13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</row>
    <row r="940" spans="1:33" ht="13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</row>
    <row r="941" spans="1:33" ht="13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</row>
    <row r="942" spans="1:33" ht="13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</row>
    <row r="943" spans="1:33" ht="13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</row>
    <row r="944" spans="1:33" ht="13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</row>
    <row r="945" spans="1:33" ht="13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</row>
    <row r="946" spans="1:33" ht="13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</row>
    <row r="947" spans="1:33" ht="13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</row>
    <row r="948" spans="1:33" ht="13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</row>
    <row r="949" spans="1:33" ht="13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</row>
    <row r="950" spans="1:33" ht="13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</row>
    <row r="951" spans="1:33" ht="13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</row>
    <row r="952" spans="1:33" ht="13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</row>
    <row r="953" spans="1:33" ht="13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</row>
    <row r="954" spans="1:33" ht="13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</row>
    <row r="955" spans="1:33" ht="13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</row>
    <row r="956" spans="1:33" ht="13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</row>
    <row r="957" spans="1:33" ht="13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</row>
    <row r="958" spans="1:33" ht="13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</row>
    <row r="959" spans="1:33" ht="13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</row>
    <row r="960" spans="1:33" ht="13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</row>
    <row r="961" spans="1:33" ht="13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</row>
    <row r="962" spans="1:33" ht="13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</row>
    <row r="963" spans="1:33" ht="13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</row>
    <row r="964" spans="1:33" ht="13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</row>
    <row r="965" spans="1:33" ht="13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</row>
    <row r="966" spans="1:33" ht="13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</row>
    <row r="967" spans="1:33" ht="13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</row>
    <row r="968" spans="1:33" ht="13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</row>
    <row r="969" spans="1:33" ht="13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</row>
    <row r="970" spans="1:33" ht="13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</row>
    <row r="971" spans="1:33" ht="13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</row>
    <row r="972" spans="1:33" ht="13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</row>
    <row r="973" spans="1:33" ht="13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</row>
    <row r="974" spans="1:33" ht="13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</row>
    <row r="975" spans="1:33" ht="13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</row>
    <row r="976" spans="1:33" ht="13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</row>
    <row r="977" spans="1:33" ht="13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</row>
    <row r="978" spans="1:33" ht="13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</row>
    <row r="979" spans="1:33" ht="13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</row>
    <row r="980" spans="1:33" ht="13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</row>
    <row r="981" spans="1:33" ht="13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</row>
    <row r="982" spans="1:33" ht="13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</row>
    <row r="983" spans="1:33" ht="13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</row>
    <row r="984" spans="1:33" ht="13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</row>
    <row r="985" spans="1:33" ht="13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</row>
    <row r="986" spans="1:33" ht="13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</row>
    <row r="987" spans="1:33" ht="13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</row>
    <row r="988" spans="1:33" ht="13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</row>
    <row r="989" spans="1:33" ht="13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</row>
    <row r="990" spans="1:33" ht="13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</row>
    <row r="991" spans="1:33" ht="13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</row>
    <row r="992" spans="1:33" ht="13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</row>
    <row r="993" spans="1:33" ht="13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</row>
    <row r="994" spans="1:33" ht="13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</row>
    <row r="995" spans="1:33" ht="13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</row>
    <row r="996" spans="1:33" ht="13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</row>
    <row r="997" spans="1:33" ht="13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</row>
    <row r="998" spans="1:33" ht="13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</row>
    <row r="999" spans="1:33" ht="13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</row>
    <row r="1000" spans="1:33" ht="13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</row>
    <row r="1001" spans="1:33" ht="13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</row>
    <row r="1002" spans="1:33" ht="13.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</row>
    <row r="1003" spans="1:33" ht="13.2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</row>
    <row r="1004" spans="1:33" ht="13.2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</row>
    <row r="1005" spans="1:33" ht="13.2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</row>
    <row r="1006" spans="1:33" ht="13.2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</row>
    <row r="1007" spans="1:33" ht="13.2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</row>
    <row r="1008" spans="1:33" ht="13.2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</row>
    <row r="1009" spans="1:33" ht="13.2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</row>
    <row r="1010" spans="1:33" ht="13.2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</row>
    <row r="1011" spans="1:33" ht="13.2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</row>
    <row r="1012" spans="1:33" ht="13.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</row>
    <row r="1013" spans="1:33" ht="13.2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</row>
    <row r="1014" spans="1:33" ht="13.2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</row>
    <row r="1015" spans="1:33" ht="13.2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</row>
    <row r="1016" spans="1:33" ht="13.2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</row>
    <row r="1017" spans="1:33" ht="13.2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</row>
    <row r="1018" spans="1:33" ht="13.2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</row>
    <row r="1019" spans="1:33" ht="13.2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</row>
    <row r="1020" spans="1:33" ht="13.2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</row>
    <row r="1021" spans="1:33" ht="13.2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</row>
    <row r="1022" spans="1:33" ht="13.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</row>
    <row r="1023" spans="1:33" ht="13.2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</row>
    <row r="1024" spans="1:33" ht="13.2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</row>
    <row r="1025" spans="1:33" ht="13.2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</row>
    <row r="1026" spans="1:33" ht="13.2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</row>
    <row r="1027" spans="1:33" ht="13.2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</row>
    <row r="1028" spans="1:33" ht="13.2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</row>
    <row r="1029" spans="1:33" ht="13.2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</row>
    <row r="1030" spans="1:33" ht="13.2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</row>
    <row r="1031" spans="1:33" ht="13.2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</row>
    <row r="1032" spans="1:33" ht="13.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</row>
    <row r="1033" spans="1:33" ht="13.2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</row>
    <row r="1034" spans="1:33" ht="13.2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</row>
    <row r="1035" spans="1:33" ht="13.2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</row>
    <row r="1036" spans="1:33" ht="13.2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</row>
    <row r="1037" spans="1:33" ht="13.2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</row>
    <row r="1038" spans="1:33" ht="13.2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</row>
    <row r="1039" spans="1:33" ht="13.2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</row>
    <row r="1040" spans="1:33" ht="13.2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</row>
    <row r="1041" spans="1:33" ht="13.2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</row>
    <row r="1042" spans="1:33" ht="13.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</row>
    <row r="1043" spans="1:33" ht="13.2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</row>
    <row r="1044" spans="1:33" ht="13.2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</row>
    <row r="1045" spans="1:33" ht="13.2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</row>
    <row r="1046" spans="1:33" ht="13.2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</row>
    <row r="1047" spans="1:33" ht="13.2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</row>
    <row r="1048" spans="1:33" ht="13.2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</row>
    <row r="1049" spans="1:33" ht="13.2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</row>
    <row r="1050" spans="1:33" ht="13.2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</row>
    <row r="1051" spans="1:33" ht="13.2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</row>
    <row r="1052" spans="1:33" ht="13.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</row>
    <row r="1053" spans="1:33" ht="13.2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</row>
    <row r="1054" spans="1:33" ht="13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3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3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3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3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</sheetData>
  <mergeCells count="7">
    <mergeCell ref="A19:A23"/>
    <mergeCell ref="A44:A57"/>
    <mergeCell ref="A3:A18"/>
    <mergeCell ref="D78:E78"/>
    <mergeCell ref="A1:N1"/>
    <mergeCell ref="A24:A43"/>
    <mergeCell ref="A58:A75"/>
  </mergeCells>
  <conditionalFormatting sqref="D79:D83">
    <cfRule type="cellIs" dxfId="55" priority="1" operator="equal">
      <formula>"Reçue"</formula>
    </cfRule>
  </conditionalFormatting>
  <conditionalFormatting sqref="D79:D83">
    <cfRule type="cellIs" dxfId="54" priority="2" operator="equal">
      <formula>"En préparation"</formula>
    </cfRule>
  </conditionalFormatting>
  <conditionalFormatting sqref="D79:D83">
    <cfRule type="cellIs" dxfId="53" priority="3" operator="equal">
      <formula>"En attente"</formula>
    </cfRule>
  </conditionalFormatting>
  <conditionalFormatting sqref="D79:D83">
    <cfRule type="cellIs" dxfId="52" priority="4" operator="equal">
      <formula>"Devis reçu"</formula>
    </cfRule>
  </conditionalFormatting>
  <conditionalFormatting sqref="D79:D83">
    <cfRule type="cellIs" dxfId="51" priority="5" operator="equal">
      <formula>"Lancée"</formula>
    </cfRule>
  </conditionalFormatting>
  <conditionalFormatting sqref="L1:L75 L77 L80 L83:L1058">
    <cfRule type="cellIs" dxfId="50" priority="6" operator="equal">
      <formula>"En préparation"</formula>
    </cfRule>
  </conditionalFormatting>
  <conditionalFormatting sqref="L1:L75 L77 L80 L83:L1058">
    <cfRule type="containsText" dxfId="49" priority="7" operator="containsText" text="Devis déposé">
      <formula>NOT(ISERROR(SEARCH(("Devis déposé"),(L1))))</formula>
    </cfRule>
  </conditionalFormatting>
  <conditionalFormatting sqref="L1:L75 L77 L80 L83:L1058">
    <cfRule type="containsText" dxfId="48" priority="8" operator="containsText" text="Devis vérifié">
      <formula>NOT(ISERROR(SEARCH(("Devis vérifié"),(L1))))</formula>
    </cfRule>
  </conditionalFormatting>
  <conditionalFormatting sqref="L1:L75 L77 L80 L83:L1058">
    <cfRule type="containsText" dxfId="47" priority="9" operator="containsText" text="Devis accepté">
      <formula>NOT(ISERROR(SEARCH(("Devis accepté"),(L1))))</formula>
    </cfRule>
  </conditionalFormatting>
  <conditionalFormatting sqref="L1:L75 L77 L80 L83:L1058">
    <cfRule type="containsText" dxfId="46" priority="10" operator="containsText" text="Commandé">
      <formula>NOT(ISERROR(SEARCH(("Commandé"),(L1))))</formula>
    </cfRule>
  </conditionalFormatting>
  <conditionalFormatting sqref="L3:L75 L77 L80 L83:L1053">
    <cfRule type="containsText" dxfId="45" priority="11" operator="containsText" text="Livré">
      <formula>NOT(ISERROR(SEARCH(("Livré"),(L3))))</formula>
    </cfRule>
  </conditionalFormatting>
  <conditionalFormatting sqref="L3:L75 L77 L80 L83:L1058">
    <cfRule type="containsText" dxfId="44" priority="12" operator="containsText" text="Problème commande">
      <formula>NOT(ISERROR(SEARCH(("Problème commande"),(L3))))</formula>
    </cfRule>
  </conditionalFormatting>
  <conditionalFormatting sqref="O3:O75">
    <cfRule type="timePeriod" dxfId="43" priority="13" timePeriod="today">
      <formula>FLOOR(O3,1)=TODAY()</formula>
    </cfRule>
  </conditionalFormatting>
  <conditionalFormatting sqref="O3:O75">
    <cfRule type="cellIs" dxfId="42" priority="14" operator="between">
      <formula>0</formula>
      <formula>3</formula>
    </cfRule>
  </conditionalFormatting>
  <conditionalFormatting sqref="O3:Q75">
    <cfRule type="cellIs" dxfId="41" priority="15" operator="equal">
      <formula>"Ok"</formula>
    </cfRule>
  </conditionalFormatting>
  <conditionalFormatting sqref="O3:O75">
    <cfRule type="cellIs" dxfId="40" priority="16" operator="between">
      <formula>3</formula>
      <formula>7</formula>
    </cfRule>
  </conditionalFormatting>
  <conditionalFormatting sqref="O3:O75">
    <cfRule type="cellIs" dxfId="39" priority="17" operator="greaterThan">
      <formula>7</formula>
    </cfRule>
  </conditionalFormatting>
  <conditionalFormatting sqref="P3:P75">
    <cfRule type="cellIs" dxfId="38" priority="18" operator="between">
      <formula>1</formula>
      <formula>7</formula>
    </cfRule>
  </conditionalFormatting>
  <conditionalFormatting sqref="P3:P75">
    <cfRule type="cellIs" dxfId="37" priority="19" operator="lessThanOrEqual">
      <formula>1</formula>
    </cfRule>
  </conditionalFormatting>
  <conditionalFormatting sqref="P3:P75">
    <cfRule type="cellIs" dxfId="36" priority="20" operator="between">
      <formula>7</formula>
      <formula>14</formula>
    </cfRule>
  </conditionalFormatting>
  <conditionalFormatting sqref="Q3:Q75">
    <cfRule type="timePeriod" dxfId="35" priority="21" timePeriod="today">
      <formula>FLOOR(Q3,1)=TODAY()</formula>
    </cfRule>
  </conditionalFormatting>
  <conditionalFormatting sqref="Q3:Q75">
    <cfRule type="cellIs" dxfId="34" priority="22" operator="greaterThanOrEqual">
      <formula>21</formula>
    </cfRule>
  </conditionalFormatting>
  <conditionalFormatting sqref="Q3:Q75">
    <cfRule type="cellIs" dxfId="33" priority="23" operator="greaterThan">
      <formula>0</formula>
    </cfRule>
  </conditionalFormatting>
  <conditionalFormatting sqref="L3:L75">
    <cfRule type="cellIs" dxfId="32" priority="24" operator="equal">
      <formula>"BDL reçu"</formula>
    </cfRule>
  </conditionalFormatting>
  <conditionalFormatting sqref="L3:L75">
    <cfRule type="cellIs" dxfId="31" priority="25" operator="equal">
      <formula>"payé"</formula>
    </cfRule>
  </conditionalFormatting>
  <dataValidations count="1">
    <dataValidation type="list" allowBlank="1" sqref="L3:L75">
      <formula1>"En préparation,Devis déposé,Devis vérifié,Devis accepté,Commandé,Livré,Problème commande,BDL reçu,payé"</formula1>
    </dataValidation>
  </dataValidation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333" t="s">
        <v>279</v>
      </c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2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2" ht="15.75" customHeight="1">
      <c r="A2" s="248" t="s">
        <v>457</v>
      </c>
      <c r="B2" s="269" t="s">
        <v>589</v>
      </c>
      <c r="C2" s="269" t="s">
        <v>590</v>
      </c>
      <c r="D2" s="248">
        <v>4</v>
      </c>
      <c r="E2" s="248"/>
      <c r="F2" s="336" t="s">
        <v>591</v>
      </c>
      <c r="G2" s="336">
        <v>360</v>
      </c>
      <c r="H2" s="258"/>
      <c r="I2" s="248" t="s">
        <v>273</v>
      </c>
      <c r="J2" s="248" t="s">
        <v>592</v>
      </c>
      <c r="K2" s="338" t="s">
        <v>593</v>
      </c>
      <c r="L2" s="249"/>
    </row>
    <row r="3" spans="1:12" ht="15.75" customHeight="1">
      <c r="A3" s="248" t="s">
        <v>457</v>
      </c>
      <c r="B3" s="269" t="s">
        <v>597</v>
      </c>
      <c r="C3" s="269" t="s">
        <v>598</v>
      </c>
      <c r="D3" s="248">
        <v>1</v>
      </c>
      <c r="E3" s="248"/>
      <c r="F3" s="336" t="s">
        <v>599</v>
      </c>
      <c r="G3" s="336">
        <v>222</v>
      </c>
      <c r="H3" s="258"/>
      <c r="I3" s="248" t="s">
        <v>273</v>
      </c>
      <c r="J3" s="248" t="s">
        <v>592</v>
      </c>
      <c r="K3" s="258"/>
      <c r="L3" s="249"/>
    </row>
    <row r="4" spans="1:12" ht="15.75" customHeight="1">
      <c r="A4" s="248" t="s">
        <v>457</v>
      </c>
      <c r="B4" s="248" t="s">
        <v>600</v>
      </c>
      <c r="C4" s="269" t="s">
        <v>601</v>
      </c>
      <c r="D4" s="248">
        <v>1</v>
      </c>
      <c r="E4" s="248"/>
      <c r="F4" s="336" t="s">
        <v>599</v>
      </c>
      <c r="G4" s="336">
        <v>222</v>
      </c>
      <c r="H4" s="258"/>
      <c r="I4" s="248" t="s">
        <v>273</v>
      </c>
      <c r="J4" s="248" t="s">
        <v>592</v>
      </c>
      <c r="K4" s="344"/>
      <c r="L4" s="249"/>
    </row>
    <row r="5" spans="1:12" ht="15.75" customHeight="1">
      <c r="A5" s="248" t="s">
        <v>457</v>
      </c>
      <c r="B5" s="248" t="s">
        <v>605</v>
      </c>
      <c r="C5" s="269" t="s">
        <v>606</v>
      </c>
      <c r="D5" s="248">
        <v>2</v>
      </c>
      <c r="E5" s="248"/>
      <c r="F5" s="336" t="s">
        <v>599</v>
      </c>
      <c r="G5" s="336">
        <v>444</v>
      </c>
      <c r="H5" s="258"/>
      <c r="I5" s="248" t="s">
        <v>273</v>
      </c>
      <c r="J5" s="248" t="s">
        <v>592</v>
      </c>
      <c r="K5" s="92"/>
      <c r="L5" s="249"/>
    </row>
    <row r="6" spans="1:12" ht="15.75" customHeight="1">
      <c r="A6" s="248" t="s">
        <v>436</v>
      </c>
      <c r="B6" s="269" t="s">
        <v>607</v>
      </c>
      <c r="C6" s="346" t="s">
        <v>608</v>
      </c>
      <c r="D6" s="269">
        <v>2</v>
      </c>
      <c r="E6" s="248"/>
      <c r="F6" s="336" t="s">
        <v>599</v>
      </c>
      <c r="G6" s="336">
        <v>444</v>
      </c>
      <c r="H6" s="258"/>
      <c r="I6" s="248" t="s">
        <v>273</v>
      </c>
      <c r="J6" s="248" t="s">
        <v>592</v>
      </c>
      <c r="K6" s="344"/>
      <c r="L6" s="249"/>
    </row>
    <row r="7" spans="1:12" ht="15.75" customHeight="1">
      <c r="A7" s="248" t="s">
        <v>457</v>
      </c>
      <c r="B7" s="248" t="s">
        <v>609</v>
      </c>
      <c r="C7" s="269" t="s">
        <v>610</v>
      </c>
      <c r="D7" s="248">
        <v>10</v>
      </c>
      <c r="E7" s="248"/>
      <c r="F7" s="336" t="s">
        <v>611</v>
      </c>
      <c r="G7" s="336">
        <v>6</v>
      </c>
      <c r="H7" s="258"/>
      <c r="I7" s="248" t="s">
        <v>273</v>
      </c>
      <c r="J7" s="248" t="s">
        <v>592</v>
      </c>
      <c r="K7" s="344"/>
      <c r="L7" s="249"/>
    </row>
    <row r="8" spans="1:12" ht="15.75" customHeight="1">
      <c r="A8" s="248" t="s">
        <v>457</v>
      </c>
      <c r="B8" s="269" t="s">
        <v>612</v>
      </c>
      <c r="C8" s="269" t="s">
        <v>613</v>
      </c>
      <c r="D8" s="248">
        <v>4</v>
      </c>
      <c r="E8" s="344"/>
      <c r="F8" s="336" t="s">
        <v>614</v>
      </c>
      <c r="G8" s="336">
        <v>36</v>
      </c>
      <c r="H8" s="258"/>
      <c r="I8" s="248" t="s">
        <v>273</v>
      </c>
      <c r="J8" s="248" t="s">
        <v>592</v>
      </c>
      <c r="K8" s="344"/>
      <c r="L8" s="249"/>
    </row>
    <row r="9" spans="1:12" ht="15.75" customHeight="1">
      <c r="A9" s="249"/>
      <c r="B9" s="272" t="s">
        <v>570</v>
      </c>
      <c r="C9" s="249"/>
      <c r="D9" s="249"/>
      <c r="E9" s="249"/>
      <c r="F9" s="249"/>
      <c r="G9" s="272">
        <v>150</v>
      </c>
      <c r="H9" s="249"/>
      <c r="I9" s="249"/>
      <c r="J9" s="249"/>
      <c r="K9" s="249"/>
    </row>
    <row r="10" spans="1:12" ht="15.75" customHeight="1">
      <c r="A10" s="249"/>
      <c r="B10" s="249"/>
      <c r="C10" s="249"/>
      <c r="D10" s="249"/>
      <c r="E10" s="249"/>
      <c r="F10" s="249"/>
      <c r="G10" s="272" t="s">
        <v>615</v>
      </c>
      <c r="H10" s="331">
        <v>1551.2</v>
      </c>
      <c r="I10" s="249"/>
      <c r="J10" s="249"/>
      <c r="K10" s="249"/>
    </row>
    <row r="11" spans="1:12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2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hyperlinks>
    <hyperlink ref="K2" r:id="rId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40"/>
  <sheetViews>
    <sheetView workbookViewId="0"/>
  </sheetViews>
  <sheetFormatPr baseColWidth="10" defaultColWidth="14.44140625" defaultRowHeight="15.75" customHeight="1"/>
  <cols>
    <col min="1" max="1" width="15.109375" customWidth="1"/>
    <col min="2" max="2" width="16.5546875" customWidth="1"/>
    <col min="3" max="3" width="57.6640625" customWidth="1"/>
    <col min="4" max="4" width="24.44140625" customWidth="1"/>
    <col min="5" max="5" width="15.44140625" customWidth="1"/>
    <col min="6" max="6" width="13.6640625" customWidth="1"/>
    <col min="8" max="8" width="10" customWidth="1"/>
    <col min="9" max="9" width="12.88671875" customWidth="1"/>
    <col min="10" max="10" width="12.6640625" customWidth="1"/>
    <col min="11" max="11" width="130.5546875" customWidth="1"/>
  </cols>
  <sheetData>
    <row r="1" spans="1:26" ht="15.75" customHeight="1">
      <c r="A1" s="275" t="s">
        <v>586</v>
      </c>
      <c r="B1" s="275" t="s">
        <v>200</v>
      </c>
      <c r="C1" s="275" t="s">
        <v>426</v>
      </c>
      <c r="D1" s="275" t="s">
        <v>427</v>
      </c>
      <c r="E1" s="275" t="s">
        <v>428</v>
      </c>
      <c r="F1" s="275" t="s">
        <v>429</v>
      </c>
      <c r="G1" s="275" t="s">
        <v>430</v>
      </c>
      <c r="H1" s="275" t="s">
        <v>587</v>
      </c>
      <c r="I1" s="247" t="s">
        <v>588</v>
      </c>
      <c r="J1" s="275" t="s">
        <v>433</v>
      </c>
      <c r="K1" s="335" t="s">
        <v>435</v>
      </c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</row>
    <row r="2" spans="1:26" ht="15.75" customHeight="1">
      <c r="A2" s="452" t="s">
        <v>457</v>
      </c>
      <c r="B2" s="451" t="s">
        <v>594</v>
      </c>
      <c r="C2" s="342" t="s">
        <v>595</v>
      </c>
      <c r="D2" s="343" t="s">
        <v>604</v>
      </c>
      <c r="E2" s="345">
        <v>1</v>
      </c>
      <c r="F2" s="345">
        <v>0</v>
      </c>
      <c r="G2" s="345">
        <v>143</v>
      </c>
      <c r="H2" s="345">
        <v>143</v>
      </c>
      <c r="I2" s="341">
        <f t="shared" ref="I2:I25" si="0">H2*1.25</f>
        <v>178.75</v>
      </c>
      <c r="J2" s="345" t="s">
        <v>266</v>
      </c>
      <c r="K2" s="351" t="s">
        <v>617</v>
      </c>
      <c r="L2" s="352"/>
      <c r="M2" s="352"/>
      <c r="N2" s="352"/>
      <c r="O2" s="352"/>
      <c r="P2" s="352"/>
      <c r="Q2" s="276"/>
      <c r="R2" s="276"/>
      <c r="S2" s="276"/>
      <c r="T2" s="276"/>
      <c r="U2" s="276"/>
      <c r="V2" s="276"/>
      <c r="W2" s="276"/>
      <c r="X2" s="276"/>
      <c r="Y2" s="276"/>
      <c r="Z2" s="276"/>
    </row>
    <row r="3" spans="1:26" ht="15.75" customHeight="1">
      <c r="A3" s="450"/>
      <c r="B3" s="450"/>
      <c r="C3" s="345" t="s">
        <v>627</v>
      </c>
      <c r="D3" s="340" t="s">
        <v>628</v>
      </c>
      <c r="E3" s="345">
        <v>6</v>
      </c>
      <c r="F3" s="345">
        <v>0</v>
      </c>
      <c r="G3" s="345">
        <v>13.1</v>
      </c>
      <c r="H3" s="345">
        <f t="shared" ref="H3:H4" si="1">G3*(E3+F3)</f>
        <v>78.599999999999994</v>
      </c>
      <c r="I3" s="341">
        <f t="shared" si="0"/>
        <v>98.25</v>
      </c>
      <c r="J3" s="345" t="s">
        <v>266</v>
      </c>
      <c r="K3" s="356" t="s">
        <v>630</v>
      </c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</row>
    <row r="4" spans="1:26" ht="15.75" customHeight="1">
      <c r="A4" s="450"/>
      <c r="B4" s="450"/>
      <c r="C4" s="345" t="s">
        <v>634</v>
      </c>
      <c r="D4" s="340" t="s">
        <v>635</v>
      </c>
      <c r="E4" s="345">
        <v>1</v>
      </c>
      <c r="F4" s="345">
        <v>0</v>
      </c>
      <c r="G4" s="345">
        <v>16</v>
      </c>
      <c r="H4" s="345">
        <f t="shared" si="1"/>
        <v>16</v>
      </c>
      <c r="I4" s="341">
        <f t="shared" si="0"/>
        <v>20</v>
      </c>
      <c r="J4" s="345" t="s">
        <v>266</v>
      </c>
      <c r="K4" s="357" t="s">
        <v>636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</row>
    <row r="5" spans="1:26" ht="15.75" customHeight="1">
      <c r="A5" s="450"/>
      <c r="B5" s="455" t="s">
        <v>616</v>
      </c>
      <c r="C5" s="339" t="s">
        <v>645</v>
      </c>
      <c r="D5" s="340" t="s">
        <v>646</v>
      </c>
      <c r="E5" s="339">
        <v>1</v>
      </c>
      <c r="F5" s="339">
        <v>0</v>
      </c>
      <c r="G5" s="339">
        <v>179</v>
      </c>
      <c r="H5" s="339">
        <v>179</v>
      </c>
      <c r="I5" s="341">
        <f t="shared" si="0"/>
        <v>223.75</v>
      </c>
      <c r="J5" s="339" t="s">
        <v>266</v>
      </c>
      <c r="K5" s="347" t="s">
        <v>603</v>
      </c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</row>
    <row r="6" spans="1:26" ht="15.75" customHeight="1">
      <c r="A6" s="450"/>
      <c r="B6" s="450"/>
      <c r="C6" s="339" t="s">
        <v>647</v>
      </c>
      <c r="D6" s="340" t="s">
        <v>648</v>
      </c>
      <c r="E6" s="339">
        <v>1</v>
      </c>
      <c r="F6" s="339">
        <v>0</v>
      </c>
      <c r="G6" s="339">
        <v>39</v>
      </c>
      <c r="H6" s="339">
        <v>39</v>
      </c>
      <c r="I6" s="341">
        <f t="shared" si="0"/>
        <v>48.75</v>
      </c>
      <c r="J6" s="339" t="s">
        <v>266</v>
      </c>
      <c r="K6" s="359" t="s">
        <v>649</v>
      </c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</row>
    <row r="7" spans="1:26" ht="15.75" customHeight="1">
      <c r="A7" s="450"/>
      <c r="B7" s="450"/>
      <c r="C7" s="361" t="s">
        <v>652</v>
      </c>
      <c r="D7" s="362">
        <v>46556</v>
      </c>
      <c r="E7" s="363">
        <v>2</v>
      </c>
      <c r="F7" s="364"/>
      <c r="G7" s="365">
        <v>5</v>
      </c>
      <c r="H7" s="365">
        <v>10</v>
      </c>
      <c r="I7" s="341">
        <f t="shared" si="0"/>
        <v>12.5</v>
      </c>
      <c r="J7" s="365" t="s">
        <v>266</v>
      </c>
      <c r="K7" s="367" t="s">
        <v>654</v>
      </c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</row>
    <row r="8" spans="1:26" ht="15.75" customHeight="1">
      <c r="A8" s="450"/>
      <c r="B8" s="450"/>
      <c r="C8" s="339" t="s">
        <v>657</v>
      </c>
      <c r="D8" s="368" t="s">
        <v>658</v>
      </c>
      <c r="E8" s="339">
        <v>1</v>
      </c>
      <c r="F8" s="339">
        <v>0</v>
      </c>
      <c r="G8" s="339">
        <v>3.5</v>
      </c>
      <c r="H8" s="339">
        <f t="shared" ref="H8:H9" si="2">G8*(E8+F8)</f>
        <v>3.5</v>
      </c>
      <c r="I8" s="341">
        <f t="shared" si="0"/>
        <v>4.375</v>
      </c>
      <c r="J8" s="339" t="s">
        <v>266</v>
      </c>
      <c r="K8" s="370" t="s">
        <v>661</v>
      </c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</row>
    <row r="9" spans="1:26" ht="15.75" customHeight="1">
      <c r="A9" s="450"/>
      <c r="B9" s="450"/>
      <c r="C9" s="339" t="s">
        <v>663</v>
      </c>
      <c r="D9" s="368">
        <v>4006</v>
      </c>
      <c r="E9" s="339">
        <v>3</v>
      </c>
      <c r="F9" s="339">
        <v>1</v>
      </c>
      <c r="G9" s="339">
        <v>28.5</v>
      </c>
      <c r="H9" s="339">
        <f t="shared" si="2"/>
        <v>114</v>
      </c>
      <c r="I9" s="341">
        <f t="shared" si="0"/>
        <v>142.5</v>
      </c>
      <c r="J9" s="339" t="s">
        <v>266</v>
      </c>
      <c r="K9" s="370" t="s">
        <v>664</v>
      </c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</row>
    <row r="10" spans="1:26" ht="15.75" customHeight="1">
      <c r="A10" s="450"/>
      <c r="B10" s="450"/>
      <c r="C10" s="371" t="s">
        <v>668</v>
      </c>
      <c r="D10" s="341">
        <v>4600394</v>
      </c>
      <c r="E10" s="339">
        <v>1</v>
      </c>
      <c r="F10" s="339">
        <v>0</v>
      </c>
      <c r="G10" s="339">
        <v>42</v>
      </c>
      <c r="H10" s="339">
        <v>84</v>
      </c>
      <c r="I10" s="341">
        <f t="shared" si="0"/>
        <v>105</v>
      </c>
      <c r="J10" s="339" t="s">
        <v>266</v>
      </c>
      <c r="K10" s="373" t="s">
        <v>673</v>
      </c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</row>
    <row r="11" spans="1:26" ht="15.75" customHeight="1">
      <c r="A11" s="447"/>
      <c r="B11" s="450"/>
      <c r="C11" s="371" t="s">
        <v>678</v>
      </c>
      <c r="D11" s="341" t="s">
        <v>679</v>
      </c>
      <c r="E11" s="339">
        <v>1</v>
      </c>
      <c r="F11" s="339">
        <v>1</v>
      </c>
      <c r="G11" s="339">
        <v>17.899999999999999</v>
      </c>
      <c r="H11" s="339">
        <f>17.9*2</f>
        <v>35.799999999999997</v>
      </c>
      <c r="I11" s="341">
        <f t="shared" si="0"/>
        <v>44.75</v>
      </c>
      <c r="J11" s="339" t="s">
        <v>266</v>
      </c>
      <c r="K11" s="373" t="s">
        <v>673</v>
      </c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</row>
    <row r="12" spans="1:26" ht="15.75" customHeight="1">
      <c r="A12" s="449" t="s">
        <v>686</v>
      </c>
      <c r="B12" s="450"/>
      <c r="C12" s="376" t="s">
        <v>691</v>
      </c>
      <c r="D12" s="362" t="s">
        <v>693</v>
      </c>
      <c r="E12" s="377">
        <v>1</v>
      </c>
      <c r="F12" s="376">
        <v>0</v>
      </c>
      <c r="G12" s="376">
        <v>19.899999999999999</v>
      </c>
      <c r="H12" s="376">
        <v>19.899999999999999</v>
      </c>
      <c r="I12" s="341">
        <f t="shared" si="0"/>
        <v>24.875</v>
      </c>
      <c r="J12" s="376" t="s">
        <v>266</v>
      </c>
      <c r="K12" s="381" t="s">
        <v>696</v>
      </c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</row>
    <row r="13" spans="1:26" ht="15.75" customHeight="1">
      <c r="A13" s="450"/>
      <c r="B13" s="450"/>
      <c r="C13" s="377" t="s">
        <v>708</v>
      </c>
      <c r="D13" s="382" t="s">
        <v>709</v>
      </c>
      <c r="E13" s="377">
        <v>1</v>
      </c>
      <c r="F13" s="376">
        <v>0</v>
      </c>
      <c r="G13" s="376">
        <v>32.9</v>
      </c>
      <c r="H13" s="376">
        <v>32.9</v>
      </c>
      <c r="I13" s="341">
        <f t="shared" si="0"/>
        <v>41.125</v>
      </c>
      <c r="J13" s="376" t="s">
        <v>266</v>
      </c>
      <c r="K13" s="381" t="s">
        <v>710</v>
      </c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</row>
    <row r="14" spans="1:26" ht="15.75" customHeight="1">
      <c r="A14" s="450"/>
      <c r="B14" s="450"/>
      <c r="C14" s="377" t="s">
        <v>715</v>
      </c>
      <c r="D14" s="362" t="s">
        <v>716</v>
      </c>
      <c r="E14" s="377">
        <v>1</v>
      </c>
      <c r="F14" s="376">
        <v>0</v>
      </c>
      <c r="G14" s="376">
        <v>109</v>
      </c>
      <c r="H14" s="376">
        <v>109</v>
      </c>
      <c r="I14" s="341">
        <f t="shared" si="0"/>
        <v>136.25</v>
      </c>
      <c r="J14" s="376" t="s">
        <v>266</v>
      </c>
      <c r="K14" s="384" t="s">
        <v>717</v>
      </c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</row>
    <row r="15" spans="1:26" ht="15.75" customHeight="1">
      <c r="A15" s="450"/>
      <c r="B15" s="450"/>
      <c r="C15" s="385" t="s">
        <v>723</v>
      </c>
      <c r="D15" s="362" t="s">
        <v>724</v>
      </c>
      <c r="E15" s="377">
        <v>2</v>
      </c>
      <c r="F15" s="386"/>
      <c r="G15" s="376">
        <v>5</v>
      </c>
      <c r="H15" s="376">
        <v>10</v>
      </c>
      <c r="I15" s="341">
        <f t="shared" si="0"/>
        <v>12.5</v>
      </c>
      <c r="J15" s="376" t="s">
        <v>266</v>
      </c>
      <c r="K15" s="381" t="s">
        <v>654</v>
      </c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</row>
    <row r="16" spans="1:26" ht="15.75" customHeight="1">
      <c r="A16" s="450"/>
      <c r="B16" s="450"/>
      <c r="C16" s="391" t="s">
        <v>729</v>
      </c>
      <c r="D16" s="392">
        <v>5360104</v>
      </c>
      <c r="E16" s="377">
        <v>1</v>
      </c>
      <c r="F16" s="376">
        <v>0</v>
      </c>
      <c r="G16" s="376">
        <v>10.5</v>
      </c>
      <c r="H16" s="376">
        <v>10.5</v>
      </c>
      <c r="I16" s="341">
        <f t="shared" si="0"/>
        <v>13.125</v>
      </c>
      <c r="J16" s="376" t="s">
        <v>266</v>
      </c>
      <c r="K16" s="381" t="s">
        <v>731</v>
      </c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</row>
    <row r="17" spans="1:26" ht="15.75" customHeight="1">
      <c r="A17" s="450"/>
      <c r="B17" s="450"/>
      <c r="C17" s="385" t="s">
        <v>735</v>
      </c>
      <c r="D17" s="395" t="s">
        <v>736</v>
      </c>
      <c r="E17" s="377">
        <v>3</v>
      </c>
      <c r="F17" s="376">
        <v>0</v>
      </c>
      <c r="G17" s="376">
        <v>12</v>
      </c>
      <c r="H17" s="376">
        <f>12*3</f>
        <v>36</v>
      </c>
      <c r="I17" s="341">
        <f t="shared" si="0"/>
        <v>45</v>
      </c>
      <c r="J17" s="376" t="s">
        <v>266</v>
      </c>
      <c r="K17" s="381" t="s">
        <v>741</v>
      </c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</row>
    <row r="18" spans="1:26" ht="15.75" customHeight="1">
      <c r="A18" s="450"/>
      <c r="B18" s="450"/>
      <c r="C18" s="385" t="s">
        <v>742</v>
      </c>
      <c r="D18" s="396"/>
      <c r="E18" s="385">
        <v>3</v>
      </c>
      <c r="F18" s="386"/>
      <c r="G18" s="386"/>
      <c r="H18" s="386"/>
      <c r="I18" s="341">
        <f t="shared" si="0"/>
        <v>0</v>
      </c>
      <c r="J18" s="376" t="s">
        <v>266</v>
      </c>
      <c r="K18" s="3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</row>
    <row r="19" spans="1:26" ht="15.75" customHeight="1">
      <c r="A19" s="450"/>
      <c r="B19" s="450"/>
      <c r="C19" s="385" t="s">
        <v>744</v>
      </c>
      <c r="D19" s="396"/>
      <c r="E19" s="385">
        <v>2</v>
      </c>
      <c r="F19" s="386"/>
      <c r="G19" s="386"/>
      <c r="H19" s="386"/>
      <c r="I19" s="341">
        <f t="shared" si="0"/>
        <v>0</v>
      </c>
      <c r="J19" s="376" t="s">
        <v>266</v>
      </c>
      <c r="K19" s="38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</row>
    <row r="20" spans="1:26" ht="15.75" customHeight="1">
      <c r="A20" s="450"/>
      <c r="B20" s="450"/>
      <c r="C20" s="385" t="s">
        <v>746</v>
      </c>
      <c r="D20" s="362" t="s">
        <v>747</v>
      </c>
      <c r="E20" s="377">
        <v>2</v>
      </c>
      <c r="F20" s="376">
        <v>0</v>
      </c>
      <c r="G20" s="376">
        <v>25</v>
      </c>
      <c r="H20" s="376">
        <f>25*2</f>
        <v>50</v>
      </c>
      <c r="I20" s="341">
        <f t="shared" si="0"/>
        <v>62.5</v>
      </c>
      <c r="J20" s="376" t="s">
        <v>266</v>
      </c>
      <c r="K20" s="381" t="s">
        <v>749</v>
      </c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</row>
    <row r="21" spans="1:26" ht="15.75" customHeight="1">
      <c r="A21" s="450"/>
      <c r="B21" s="450"/>
      <c r="C21" s="385" t="s">
        <v>753</v>
      </c>
      <c r="D21" s="399" t="s">
        <v>755</v>
      </c>
      <c r="E21" s="377">
        <v>2</v>
      </c>
      <c r="F21" s="376">
        <v>0</v>
      </c>
      <c r="G21" s="376">
        <v>12</v>
      </c>
      <c r="H21" s="376">
        <f>12*2</f>
        <v>24</v>
      </c>
      <c r="I21" s="341">
        <f t="shared" si="0"/>
        <v>30</v>
      </c>
      <c r="J21" s="386"/>
      <c r="K21" s="381" t="s">
        <v>741</v>
      </c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</row>
    <row r="22" spans="1:26" ht="15.75" customHeight="1">
      <c r="A22" s="450"/>
      <c r="B22" s="450"/>
      <c r="C22" s="377" t="s">
        <v>766</v>
      </c>
      <c r="D22" s="362" t="s">
        <v>767</v>
      </c>
      <c r="E22" s="377">
        <v>1</v>
      </c>
      <c r="F22" s="376">
        <v>0</v>
      </c>
      <c r="G22" s="376">
        <v>9.9</v>
      </c>
      <c r="H22" s="376">
        <v>9.9</v>
      </c>
      <c r="I22" s="341">
        <f t="shared" si="0"/>
        <v>12.375</v>
      </c>
      <c r="J22" s="376" t="s">
        <v>266</v>
      </c>
      <c r="K22" s="381" t="s">
        <v>770</v>
      </c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</row>
    <row r="23" spans="1:26" ht="15.75" customHeight="1">
      <c r="A23" s="450"/>
      <c r="B23" s="450"/>
      <c r="C23" s="377" t="s">
        <v>781</v>
      </c>
      <c r="D23" s="396"/>
      <c r="E23" s="377">
        <v>5</v>
      </c>
      <c r="F23" s="386"/>
      <c r="G23" s="386"/>
      <c r="H23" s="386"/>
      <c r="I23" s="341">
        <f t="shared" si="0"/>
        <v>0</v>
      </c>
      <c r="J23" s="386"/>
      <c r="K23" s="38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</row>
    <row r="24" spans="1:26" ht="15.75" customHeight="1">
      <c r="A24" s="447"/>
      <c r="B24" s="450"/>
      <c r="C24" s="377" t="s">
        <v>789</v>
      </c>
      <c r="D24" s="396"/>
      <c r="E24" s="377">
        <v>5</v>
      </c>
      <c r="F24" s="386"/>
      <c r="G24" s="386"/>
      <c r="H24" s="386"/>
      <c r="I24" s="341">
        <f t="shared" si="0"/>
        <v>0</v>
      </c>
      <c r="J24" s="386"/>
      <c r="K24" s="38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</row>
    <row r="25" spans="1:26">
      <c r="A25" s="453" t="s">
        <v>227</v>
      </c>
      <c r="B25" s="450"/>
      <c r="C25" s="401" t="s">
        <v>798</v>
      </c>
      <c r="D25" s="327" t="s">
        <v>799</v>
      </c>
      <c r="E25" s="401">
        <v>2</v>
      </c>
      <c r="F25" s="401">
        <v>0</v>
      </c>
      <c r="G25" s="401">
        <v>17.899999999999999</v>
      </c>
      <c r="H25" s="402">
        <f>G25*2</f>
        <v>35.799999999999997</v>
      </c>
      <c r="I25" s="341">
        <f t="shared" si="0"/>
        <v>44.75</v>
      </c>
      <c r="J25" s="401" t="s">
        <v>266</v>
      </c>
      <c r="K25" s="403" t="s">
        <v>806</v>
      </c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</row>
    <row r="26" spans="1:26">
      <c r="A26" s="447"/>
      <c r="B26" s="450"/>
      <c r="C26" s="401" t="s">
        <v>835</v>
      </c>
      <c r="D26" s="327" t="s">
        <v>836</v>
      </c>
      <c r="E26" s="401">
        <v>1</v>
      </c>
      <c r="F26" s="401">
        <v>0</v>
      </c>
      <c r="G26" s="404"/>
      <c r="H26" s="402"/>
      <c r="I26" s="341">
        <v>16.899999999999999</v>
      </c>
      <c r="J26" s="401" t="s">
        <v>247</v>
      </c>
      <c r="K26" s="401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</row>
    <row r="27" spans="1:26" ht="15.75" customHeight="1">
      <c r="A27" s="456" t="s">
        <v>358</v>
      </c>
      <c r="B27" s="450"/>
      <c r="C27" s="405" t="s">
        <v>853</v>
      </c>
      <c r="D27" s="406" t="s">
        <v>854</v>
      </c>
      <c r="E27" s="405">
        <v>1</v>
      </c>
      <c r="F27" s="405">
        <v>0</v>
      </c>
      <c r="G27" s="405">
        <v>318</v>
      </c>
      <c r="H27" s="405">
        <v>318</v>
      </c>
      <c r="I27" s="341">
        <f>H27*1.25</f>
        <v>397.5</v>
      </c>
      <c r="J27" s="405" t="s">
        <v>266</v>
      </c>
      <c r="K27" s="407" t="s">
        <v>855</v>
      </c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</row>
    <row r="28" spans="1:26" ht="15.75" customHeight="1">
      <c r="A28" s="450"/>
      <c r="B28" s="450"/>
      <c r="C28" s="408" t="s">
        <v>856</v>
      </c>
      <c r="D28" s="92" t="s">
        <v>857</v>
      </c>
      <c r="E28" s="409">
        <v>1</v>
      </c>
      <c r="F28" s="410"/>
      <c r="G28" s="410"/>
      <c r="H28" s="410"/>
      <c r="I28" s="258"/>
      <c r="J28" s="408" t="s">
        <v>266</v>
      </c>
      <c r="K28" s="410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</row>
    <row r="29" spans="1:26" ht="13.2">
      <c r="A29" s="450"/>
      <c r="B29" s="450"/>
      <c r="C29" s="408" t="s">
        <v>858</v>
      </c>
      <c r="D29" s="92" t="s">
        <v>859</v>
      </c>
      <c r="E29" s="409">
        <v>5</v>
      </c>
      <c r="F29" s="408">
        <v>1</v>
      </c>
      <c r="G29" s="408">
        <v>13.9</v>
      </c>
      <c r="H29" s="408">
        <v>83.4</v>
      </c>
      <c r="I29" s="92">
        <v>104.25</v>
      </c>
      <c r="J29" s="408" t="s">
        <v>251</v>
      </c>
      <c r="K29" s="410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</row>
    <row r="30" spans="1:26" ht="14.4">
      <c r="A30" s="454" t="s">
        <v>860</v>
      </c>
      <c r="B30" s="450"/>
      <c r="C30" s="411" t="s">
        <v>861</v>
      </c>
      <c r="D30" s="412" t="s">
        <v>862</v>
      </c>
      <c r="E30" s="413">
        <v>1</v>
      </c>
      <c r="F30" s="413">
        <v>0</v>
      </c>
      <c r="G30" s="414">
        <v>15.95</v>
      </c>
      <c r="H30" s="415"/>
      <c r="I30" s="416">
        <v>15.95</v>
      </c>
      <c r="J30" s="413" t="s">
        <v>321</v>
      </c>
      <c r="K30" s="415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</row>
    <row r="31" spans="1:26" ht="14.4">
      <c r="A31" s="450"/>
      <c r="B31" s="450"/>
      <c r="C31" s="411" t="s">
        <v>863</v>
      </c>
      <c r="D31" s="417">
        <v>6329</v>
      </c>
      <c r="E31" s="413">
        <v>1</v>
      </c>
      <c r="F31" s="413">
        <v>0</v>
      </c>
      <c r="G31" s="414">
        <v>9.9</v>
      </c>
      <c r="H31" s="415"/>
      <c r="I31" s="416">
        <v>9.9</v>
      </c>
      <c r="J31" s="413" t="s">
        <v>321</v>
      </c>
      <c r="K31" s="415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</row>
    <row r="32" spans="1:26" ht="14.4">
      <c r="A32" s="450"/>
      <c r="B32" s="450"/>
      <c r="C32" s="411" t="s">
        <v>864</v>
      </c>
      <c r="D32" s="412" t="s">
        <v>865</v>
      </c>
      <c r="E32" s="413">
        <v>1</v>
      </c>
      <c r="F32" s="413">
        <v>0</v>
      </c>
      <c r="G32" s="414">
        <v>34.9</v>
      </c>
      <c r="H32" s="418"/>
      <c r="I32" s="416">
        <v>34.9</v>
      </c>
      <c r="J32" s="413" t="s">
        <v>321</v>
      </c>
      <c r="K32" s="415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</row>
    <row r="33" spans="1:26" ht="14.4">
      <c r="A33" s="450"/>
      <c r="B33" s="450"/>
      <c r="C33" s="411" t="s">
        <v>866</v>
      </c>
      <c r="D33" s="92" t="s">
        <v>867</v>
      </c>
      <c r="E33" s="413">
        <v>5</v>
      </c>
      <c r="F33" s="413">
        <v>0</v>
      </c>
      <c r="G33" s="413">
        <v>4.5</v>
      </c>
      <c r="H33" s="415"/>
      <c r="I33" s="92">
        <f t="shared" ref="I33:I34" si="3">G33*E33</f>
        <v>22.5</v>
      </c>
      <c r="J33" s="413" t="s">
        <v>321</v>
      </c>
      <c r="K33" s="415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</row>
    <row r="34" spans="1:26" ht="14.4">
      <c r="A34" s="450"/>
      <c r="B34" s="450"/>
      <c r="C34" s="411" t="s">
        <v>868</v>
      </c>
      <c r="D34" s="92" t="s">
        <v>869</v>
      </c>
      <c r="E34" s="413">
        <v>5</v>
      </c>
      <c r="F34" s="413">
        <v>0</v>
      </c>
      <c r="G34" s="413">
        <v>4.5</v>
      </c>
      <c r="H34" s="415"/>
      <c r="I34" s="92">
        <f t="shared" si="3"/>
        <v>22.5</v>
      </c>
      <c r="J34" s="413" t="s">
        <v>321</v>
      </c>
      <c r="K34" s="415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</row>
    <row r="35" spans="1:26" ht="14.4">
      <c r="A35" s="450"/>
      <c r="B35" s="450"/>
      <c r="C35" s="411" t="s">
        <v>870</v>
      </c>
      <c r="D35" s="202">
        <v>5633610</v>
      </c>
      <c r="E35" s="413">
        <v>1</v>
      </c>
      <c r="F35" s="413">
        <v>0</v>
      </c>
      <c r="G35" s="413">
        <v>5.5</v>
      </c>
      <c r="H35" s="415"/>
      <c r="I35" s="92">
        <v>5.5</v>
      </c>
      <c r="J35" s="413" t="s">
        <v>321</v>
      </c>
      <c r="K35" s="415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</row>
    <row r="36" spans="1:26" ht="14.4">
      <c r="A36" s="447"/>
      <c r="B36" s="447"/>
      <c r="C36" s="411" t="s">
        <v>871</v>
      </c>
      <c r="D36" s="92" t="s">
        <v>872</v>
      </c>
      <c r="E36" s="413">
        <v>1</v>
      </c>
      <c r="F36" s="413">
        <v>0</v>
      </c>
      <c r="G36" s="413">
        <v>9.5</v>
      </c>
      <c r="H36" s="415"/>
      <c r="I36" s="92">
        <v>9.5</v>
      </c>
      <c r="J36" s="413" t="s">
        <v>321</v>
      </c>
      <c r="K36" s="415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</row>
    <row r="37" spans="1:26" ht="13.2">
      <c r="A37" s="276"/>
      <c r="F37" s="276"/>
      <c r="G37" s="352"/>
      <c r="H37" s="419" t="s">
        <v>873</v>
      </c>
      <c r="I37" s="420">
        <f>SUM(I2:I36)</f>
        <v>1940.5250000000003</v>
      </c>
      <c r="J37" s="276"/>
      <c r="K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</row>
    <row r="39" spans="1:26" ht="13.2">
      <c r="C39" s="421" t="s">
        <v>874</v>
      </c>
      <c r="D39" s="421" t="s">
        <v>875</v>
      </c>
      <c r="E39" s="343">
        <v>4</v>
      </c>
      <c r="F39" s="341">
        <v>0</v>
      </c>
      <c r="G39" s="341">
        <v>17</v>
      </c>
      <c r="H39" s="341">
        <f>G39*E39</f>
        <v>68</v>
      </c>
      <c r="I39" s="341">
        <f>H39*1.25</f>
        <v>85</v>
      </c>
      <c r="J39" s="341" t="s">
        <v>266</v>
      </c>
      <c r="K39" s="422" t="s">
        <v>876</v>
      </c>
    </row>
    <row r="40" spans="1:26" ht="13.2">
      <c r="C40" s="248" t="s">
        <v>877</v>
      </c>
      <c r="D40" s="423"/>
      <c r="E40" s="258"/>
      <c r="F40" s="248">
        <v>16</v>
      </c>
      <c r="G40" s="248">
        <v>0</v>
      </c>
      <c r="H40" s="248">
        <v>1.6</v>
      </c>
      <c r="I40" s="248">
        <f>H40*(G40+F40)</f>
        <v>25.6</v>
      </c>
      <c r="J40" s="248"/>
      <c r="K40" s="248"/>
    </row>
  </sheetData>
  <mergeCells count="7">
    <mergeCell ref="A12:A24"/>
    <mergeCell ref="B2:B4"/>
    <mergeCell ref="A2:A11"/>
    <mergeCell ref="A25:A26"/>
    <mergeCell ref="A30:A36"/>
    <mergeCell ref="B5:B36"/>
    <mergeCell ref="A27:A29"/>
  </mergeCells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20" r:id="rId17"/>
    <hyperlink ref="K21" r:id="rId18"/>
    <hyperlink ref="K22" r:id="rId19"/>
    <hyperlink ref="K25" r:id="rId20"/>
    <hyperlink ref="K27" r:id="rId21"/>
    <hyperlink ref="K39" r:id="rId22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3"/>
  <sheetViews>
    <sheetView workbookViewId="0"/>
  </sheetViews>
  <sheetFormatPr baseColWidth="10" defaultColWidth="14.44140625" defaultRowHeight="15.75" customHeight="1"/>
  <cols>
    <col min="1" max="1" width="15.109375" customWidth="1"/>
    <col min="2" max="2" width="16.5546875" customWidth="1"/>
    <col min="3" max="3" width="57.6640625" customWidth="1"/>
    <col min="4" max="4" width="24.44140625" customWidth="1"/>
    <col min="5" max="5" width="15.44140625" customWidth="1"/>
    <col min="6" max="6" width="13.6640625" customWidth="1"/>
    <col min="8" max="8" width="10" customWidth="1"/>
    <col min="9" max="9" width="12.88671875" customWidth="1"/>
    <col min="10" max="10" width="12.6640625" customWidth="1"/>
    <col min="11" max="11" width="130.5546875" customWidth="1"/>
  </cols>
  <sheetData>
    <row r="1" spans="1:26" ht="15.75" customHeight="1">
      <c r="A1" s="275" t="s">
        <v>586</v>
      </c>
      <c r="B1" s="275" t="s">
        <v>200</v>
      </c>
      <c r="C1" s="275" t="s">
        <v>426</v>
      </c>
      <c r="D1" s="275" t="s">
        <v>427</v>
      </c>
      <c r="E1" s="275" t="s">
        <v>428</v>
      </c>
      <c r="F1" s="275" t="s">
        <v>429</v>
      </c>
      <c r="G1" s="275" t="s">
        <v>430</v>
      </c>
      <c r="H1" s="275" t="s">
        <v>587</v>
      </c>
      <c r="I1" s="247" t="s">
        <v>588</v>
      </c>
      <c r="J1" s="275" t="s">
        <v>433</v>
      </c>
      <c r="K1" s="335" t="s">
        <v>435</v>
      </c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</row>
    <row r="2" spans="1:26" ht="15.75" customHeight="1">
      <c r="A2" s="337" t="s">
        <v>227</v>
      </c>
      <c r="B2" s="337"/>
      <c r="C2" s="339" t="s">
        <v>596</v>
      </c>
      <c r="D2" s="340" t="s">
        <v>602</v>
      </c>
      <c r="E2" s="339">
        <v>1</v>
      </c>
      <c r="F2" s="339">
        <v>0</v>
      </c>
      <c r="G2" s="339"/>
      <c r="H2" s="339"/>
      <c r="I2" s="341"/>
      <c r="J2" s="339" t="s">
        <v>247</v>
      </c>
      <c r="K2" s="347" t="s">
        <v>603</v>
      </c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</row>
    <row r="3" spans="1:26" ht="15.75" customHeight="1">
      <c r="A3" s="348" t="s">
        <v>457</v>
      </c>
      <c r="B3" s="349" t="s">
        <v>616</v>
      </c>
      <c r="C3" s="349" t="s">
        <v>618</v>
      </c>
      <c r="D3" s="349" t="s">
        <v>619</v>
      </c>
      <c r="E3" s="349">
        <v>2</v>
      </c>
    </row>
  </sheetData>
  <hyperlinks>
    <hyperlink ref="K2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40.33203125" customWidth="1"/>
    <col min="6" max="6" width="13.44140625" customWidth="1"/>
    <col min="7" max="7" width="13" customWidth="1"/>
    <col min="8" max="8" width="10.33203125" customWidth="1"/>
    <col min="11" max="11" width="27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350" t="s">
        <v>436</v>
      </c>
      <c r="B2" s="272" t="s">
        <v>625</v>
      </c>
      <c r="C2" s="202" t="s">
        <v>626</v>
      </c>
      <c r="D2" s="272">
        <v>1</v>
      </c>
      <c r="E2" s="249"/>
      <c r="F2" s="353">
        <v>25.26</v>
      </c>
      <c r="G2" s="330">
        <f t="shared" ref="G2:G4" si="0">F2*D2</f>
        <v>25.26</v>
      </c>
      <c r="H2" s="249"/>
      <c r="I2" s="272" t="s">
        <v>214</v>
      </c>
      <c r="J2" s="249"/>
      <c r="K2" s="274" t="s">
        <v>629</v>
      </c>
    </row>
    <row r="3" spans="1:11" ht="15.75" customHeight="1">
      <c r="A3" s="354" t="s">
        <v>457</v>
      </c>
      <c r="B3" s="202" t="s">
        <v>631</v>
      </c>
      <c r="C3" s="202" t="s">
        <v>632</v>
      </c>
      <c r="D3" s="272">
        <v>1</v>
      </c>
      <c r="E3" s="249"/>
      <c r="F3" s="355">
        <v>8.1</v>
      </c>
      <c r="G3" s="330">
        <f t="shared" si="0"/>
        <v>8.1</v>
      </c>
      <c r="H3" s="249"/>
      <c r="I3" s="272" t="s">
        <v>285</v>
      </c>
      <c r="J3" s="249"/>
      <c r="K3" s="274" t="s">
        <v>633</v>
      </c>
    </row>
    <row r="4" spans="1:11" ht="15.75" customHeight="1">
      <c r="A4" s="354" t="s">
        <v>457</v>
      </c>
      <c r="B4" s="272" t="s">
        <v>637</v>
      </c>
      <c r="C4" s="249"/>
      <c r="D4" s="272">
        <v>1</v>
      </c>
      <c r="E4" s="249"/>
      <c r="F4" s="330"/>
      <c r="G4" s="330">
        <f t="shared" si="0"/>
        <v>0</v>
      </c>
      <c r="H4" s="249"/>
      <c r="I4" s="272" t="s">
        <v>285</v>
      </c>
      <c r="J4" s="249"/>
      <c r="K4" s="249"/>
    </row>
    <row r="5" spans="1:11" ht="15.75" customHeight="1">
      <c r="A5" s="249"/>
      <c r="B5" s="272"/>
      <c r="C5" s="249"/>
      <c r="D5" s="272"/>
      <c r="E5" s="249"/>
      <c r="F5" s="330"/>
      <c r="G5" s="249"/>
      <c r="H5" s="249"/>
      <c r="I5" s="272"/>
      <c r="J5" s="249"/>
      <c r="K5" s="249"/>
    </row>
    <row r="6" spans="1:11" ht="15.75" customHeight="1">
      <c r="A6" s="457" t="s">
        <v>638</v>
      </c>
      <c r="B6" s="458"/>
      <c r="C6" s="438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459"/>
      <c r="B7" s="425"/>
      <c r="C7" s="460"/>
      <c r="D7" s="249"/>
      <c r="E7" s="249"/>
      <c r="G7" s="249"/>
      <c r="H7" s="249"/>
      <c r="I7" s="249"/>
      <c r="J7" s="249"/>
      <c r="K7" s="249"/>
    </row>
    <row r="8" spans="1:11" ht="15.75" customHeight="1">
      <c r="A8" s="461"/>
      <c r="B8" s="462"/>
      <c r="C8" s="463"/>
      <c r="D8" s="249"/>
      <c r="E8" s="249"/>
      <c r="G8" s="249"/>
      <c r="H8" s="249"/>
      <c r="I8" s="249"/>
      <c r="J8" s="249"/>
      <c r="K8" s="249"/>
    </row>
    <row r="9" spans="1:11">
      <c r="A9" s="464" t="s">
        <v>651</v>
      </c>
      <c r="B9" s="441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350" t="s">
        <v>436</v>
      </c>
      <c r="B10" s="272" t="s">
        <v>625</v>
      </c>
      <c r="C10" s="202" t="s">
        <v>626</v>
      </c>
      <c r="D10" s="272">
        <v>1</v>
      </c>
      <c r="E10" s="249"/>
      <c r="F10" s="353">
        <v>22.97</v>
      </c>
      <c r="G10" s="330">
        <f>F10*D10</f>
        <v>22.97</v>
      </c>
      <c r="H10" s="330">
        <f>G10*1.2</f>
        <v>27.563999999999997</v>
      </c>
      <c r="I10" s="272" t="s">
        <v>214</v>
      </c>
      <c r="J10" s="249"/>
      <c r="K10" s="274" t="s">
        <v>629</v>
      </c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mergeCells count="2">
    <mergeCell ref="A6:C8"/>
    <mergeCell ref="A9:B9"/>
  </mergeCells>
  <hyperlinks>
    <hyperlink ref="K2" r:id="rId1"/>
    <hyperlink ref="K3" r:id="rId2"/>
    <hyperlink ref="K10" r:id="rId3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620</v>
      </c>
      <c r="B2" s="272" t="s">
        <v>621</v>
      </c>
      <c r="C2" s="249"/>
      <c r="D2" s="272">
        <v>1</v>
      </c>
      <c r="E2" s="249"/>
      <c r="F2" s="272">
        <v>365</v>
      </c>
      <c r="G2" s="249"/>
      <c r="H2" s="249"/>
      <c r="I2" s="272" t="s">
        <v>622</v>
      </c>
      <c r="J2" s="249"/>
      <c r="K2" s="249"/>
    </row>
    <row r="3" spans="1:11" ht="15.75" customHeight="1">
      <c r="A3" s="249"/>
      <c r="B3" s="272" t="s">
        <v>623</v>
      </c>
      <c r="C3" s="249"/>
      <c r="D3" s="272">
        <v>1</v>
      </c>
      <c r="E3" s="249"/>
      <c r="F3" s="272">
        <v>80</v>
      </c>
      <c r="G3" s="249"/>
      <c r="H3" s="249"/>
      <c r="I3" s="272" t="s">
        <v>622</v>
      </c>
      <c r="J3" s="249"/>
      <c r="K3" s="249"/>
    </row>
    <row r="4" spans="1:11" ht="15.75" customHeight="1">
      <c r="A4" s="249"/>
      <c r="B4" s="249"/>
      <c r="C4" s="249"/>
      <c r="D4" s="249"/>
      <c r="E4" s="249"/>
      <c r="F4" s="264" t="s">
        <v>624</v>
      </c>
      <c r="G4" s="272">
        <v>445</v>
      </c>
      <c r="H4" s="272">
        <f>1.2*445</f>
        <v>534</v>
      </c>
      <c r="I4" s="272" t="s">
        <v>622</v>
      </c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47"/>
  <sheetViews>
    <sheetView workbookViewId="0"/>
  </sheetViews>
  <sheetFormatPr baseColWidth="10" defaultColWidth="14.44140625" defaultRowHeight="15.75" customHeight="1"/>
  <cols>
    <col min="2" max="2" width="33.44140625" customWidth="1"/>
    <col min="3" max="3" width="23.44140625" customWidth="1"/>
    <col min="4" max="4" width="15.44140625" customWidth="1"/>
    <col min="7" max="7" width="12.109375" customWidth="1"/>
    <col min="8" max="8" width="10.33203125" customWidth="1"/>
    <col min="13" max="13" width="40.88671875" customWidth="1"/>
    <col min="14" max="14" width="10.88671875" customWidth="1"/>
    <col min="16" max="16" width="16" customWidth="1"/>
  </cols>
  <sheetData>
    <row r="1" spans="1:31" ht="15.75" customHeight="1">
      <c r="A1" s="275" t="s">
        <v>195</v>
      </c>
      <c r="B1" s="275" t="s">
        <v>426</v>
      </c>
      <c r="C1" s="275" t="s">
        <v>427</v>
      </c>
      <c r="D1" s="275" t="s">
        <v>428</v>
      </c>
      <c r="E1" s="275" t="s">
        <v>429</v>
      </c>
      <c r="F1" s="275" t="s">
        <v>513</v>
      </c>
      <c r="G1" s="247" t="s">
        <v>639</v>
      </c>
      <c r="H1" s="275" t="s">
        <v>431</v>
      </c>
      <c r="I1" s="247" t="s">
        <v>432</v>
      </c>
      <c r="J1" s="247" t="s">
        <v>640</v>
      </c>
      <c r="K1" s="247" t="s">
        <v>641</v>
      </c>
      <c r="L1" s="275" t="s">
        <v>433</v>
      </c>
      <c r="M1" s="275" t="s">
        <v>642</v>
      </c>
      <c r="N1" s="275" t="s">
        <v>434</v>
      </c>
      <c r="O1" s="275" t="s">
        <v>435</v>
      </c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</row>
    <row r="2" spans="1:31" ht="15.75" customHeight="1">
      <c r="A2" s="248" t="s">
        <v>436</v>
      </c>
      <c r="B2" s="248" t="s">
        <v>643</v>
      </c>
      <c r="C2" s="358" t="s">
        <v>644</v>
      </c>
      <c r="D2" s="248">
        <v>8</v>
      </c>
      <c r="E2" s="248">
        <v>2</v>
      </c>
      <c r="F2" s="248" t="s">
        <v>650</v>
      </c>
      <c r="G2" s="248">
        <v>0.6</v>
      </c>
      <c r="H2" s="248">
        <f t="shared" ref="H2:H15" si="0">1.2*G2*(D2+E2)</f>
        <v>7.1999999999999993</v>
      </c>
      <c r="I2" s="248"/>
      <c r="J2" s="248">
        <v>16</v>
      </c>
      <c r="K2" s="248">
        <f t="shared" ref="K2:K18" si="1">G2*J2*1.2</f>
        <v>11.52</v>
      </c>
      <c r="L2" s="360" t="s">
        <v>221</v>
      </c>
      <c r="M2" s="366" t="s">
        <v>653</v>
      </c>
      <c r="N2" s="366" t="s">
        <v>655</v>
      </c>
      <c r="O2" s="445" t="s">
        <v>656</v>
      </c>
      <c r="P2" s="440"/>
      <c r="Q2" s="440"/>
      <c r="R2" s="440"/>
      <c r="S2" s="440"/>
      <c r="T2" s="440"/>
      <c r="U2" s="441"/>
      <c r="V2" s="276"/>
      <c r="W2" s="276"/>
      <c r="X2" s="276"/>
      <c r="Y2" s="276"/>
      <c r="Z2" s="276"/>
      <c r="AA2" s="276"/>
      <c r="AB2" s="276"/>
      <c r="AC2" s="276"/>
      <c r="AD2" s="276"/>
      <c r="AE2" s="276"/>
    </row>
    <row r="3" spans="1:31" ht="15.75" customHeight="1">
      <c r="A3" s="248" t="s">
        <v>436</v>
      </c>
      <c r="B3" s="248" t="s">
        <v>659</v>
      </c>
      <c r="C3" s="369" t="s">
        <v>660</v>
      </c>
      <c r="D3" s="248">
        <v>0</v>
      </c>
      <c r="E3" s="248">
        <v>0</v>
      </c>
      <c r="F3" s="248" t="s">
        <v>650</v>
      </c>
      <c r="G3" s="248">
        <v>35</v>
      </c>
      <c r="H3" s="248">
        <f t="shared" si="0"/>
        <v>0</v>
      </c>
      <c r="I3" s="248"/>
      <c r="J3" s="248">
        <v>6</v>
      </c>
      <c r="K3" s="248">
        <f t="shared" si="1"/>
        <v>252</v>
      </c>
      <c r="L3" s="360" t="s">
        <v>221</v>
      </c>
      <c r="M3" s="344"/>
      <c r="N3" s="344"/>
      <c r="O3" s="445" t="s">
        <v>662</v>
      </c>
      <c r="P3" s="440"/>
      <c r="Q3" s="440"/>
      <c r="R3" s="440"/>
      <c r="S3" s="440"/>
      <c r="T3" s="440"/>
      <c r="U3" s="441"/>
      <c r="V3" s="276"/>
      <c r="W3" s="276"/>
      <c r="X3" s="276"/>
      <c r="Y3" s="276"/>
      <c r="Z3" s="276"/>
      <c r="AA3" s="276"/>
      <c r="AB3" s="276"/>
      <c r="AC3" s="276"/>
      <c r="AD3" s="276"/>
      <c r="AE3" s="276"/>
    </row>
    <row r="4" spans="1:31" ht="15.75" customHeight="1">
      <c r="A4" s="248" t="s">
        <v>436</v>
      </c>
      <c r="B4" s="248" t="s">
        <v>665</v>
      </c>
      <c r="C4" s="369" t="s">
        <v>666</v>
      </c>
      <c r="D4" s="248">
        <v>0</v>
      </c>
      <c r="E4" s="248">
        <v>0</v>
      </c>
      <c r="F4" s="248" t="s">
        <v>650</v>
      </c>
      <c r="G4" s="248">
        <v>17</v>
      </c>
      <c r="H4" s="248">
        <f t="shared" si="0"/>
        <v>0</v>
      </c>
      <c r="I4" s="248"/>
      <c r="J4" s="248">
        <v>18</v>
      </c>
      <c r="K4" s="248">
        <f t="shared" si="1"/>
        <v>367.2</v>
      </c>
      <c r="L4" s="360" t="s">
        <v>667</v>
      </c>
      <c r="M4" s="248"/>
      <c r="N4" s="248"/>
      <c r="O4" s="344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</row>
    <row r="5" spans="1:31" ht="15.75" customHeight="1">
      <c r="A5" s="248" t="s">
        <v>436</v>
      </c>
      <c r="B5" s="248" t="s">
        <v>669</v>
      </c>
      <c r="C5" s="369" t="s">
        <v>670</v>
      </c>
      <c r="D5" s="248">
        <v>0</v>
      </c>
      <c r="E5" s="248">
        <v>0</v>
      </c>
      <c r="F5" s="248" t="s">
        <v>650</v>
      </c>
      <c r="G5" s="248">
        <v>20</v>
      </c>
      <c r="H5" s="248">
        <f t="shared" si="0"/>
        <v>0</v>
      </c>
      <c r="I5" s="248"/>
      <c r="J5" s="248">
        <v>14</v>
      </c>
      <c r="K5" s="248">
        <f t="shared" si="1"/>
        <v>336</v>
      </c>
      <c r="L5" s="360" t="s">
        <v>671</v>
      </c>
      <c r="M5" s="248"/>
      <c r="N5" s="248"/>
      <c r="O5" s="344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</row>
    <row r="6" spans="1:31" ht="15.75" customHeight="1">
      <c r="A6" s="248" t="s">
        <v>436</v>
      </c>
      <c r="B6" s="248" t="s">
        <v>672</v>
      </c>
      <c r="C6" s="369" t="s">
        <v>674</v>
      </c>
      <c r="D6" s="248">
        <v>0</v>
      </c>
      <c r="E6" s="248">
        <v>0</v>
      </c>
      <c r="F6" s="248" t="s">
        <v>650</v>
      </c>
      <c r="G6" s="248">
        <v>20</v>
      </c>
      <c r="H6" s="248">
        <f t="shared" si="0"/>
        <v>0</v>
      </c>
      <c r="I6" s="248"/>
      <c r="J6" s="248">
        <v>3</v>
      </c>
      <c r="K6" s="248">
        <f t="shared" si="1"/>
        <v>72</v>
      </c>
      <c r="L6" s="360" t="s">
        <v>221</v>
      </c>
      <c r="M6" s="344"/>
      <c r="N6" s="344"/>
      <c r="O6" s="344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</row>
    <row r="7" spans="1:31" ht="15.75" customHeight="1">
      <c r="A7" s="248" t="s">
        <v>436</v>
      </c>
      <c r="B7" s="248" t="s">
        <v>675</v>
      </c>
      <c r="C7" s="369" t="s">
        <v>676</v>
      </c>
      <c r="D7" s="248">
        <v>0</v>
      </c>
      <c r="E7" s="248">
        <v>0</v>
      </c>
      <c r="F7" s="248" t="s">
        <v>650</v>
      </c>
      <c r="G7" s="248">
        <v>6.1</v>
      </c>
      <c r="H7" s="248">
        <f t="shared" si="0"/>
        <v>0</v>
      </c>
      <c r="I7" s="248"/>
      <c r="J7" s="248">
        <v>36</v>
      </c>
      <c r="K7" s="248">
        <f t="shared" si="1"/>
        <v>263.52</v>
      </c>
      <c r="L7" s="372" t="s">
        <v>214</v>
      </c>
      <c r="M7" s="248"/>
      <c r="N7" s="248" t="s">
        <v>677</v>
      </c>
      <c r="O7" s="374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</row>
    <row r="8" spans="1:31" ht="15.75" customHeight="1">
      <c r="A8" s="248" t="s">
        <v>436</v>
      </c>
      <c r="B8" s="248" t="s">
        <v>680</v>
      </c>
      <c r="C8" s="369" t="s">
        <v>681</v>
      </c>
      <c r="D8" s="248">
        <v>2</v>
      </c>
      <c r="E8" s="248">
        <v>0</v>
      </c>
      <c r="F8" s="248" t="s">
        <v>650</v>
      </c>
      <c r="G8" s="248">
        <v>15</v>
      </c>
      <c r="H8" s="248">
        <f t="shared" si="0"/>
        <v>36</v>
      </c>
      <c r="I8" s="248"/>
      <c r="J8" s="248">
        <v>3</v>
      </c>
      <c r="K8" s="248">
        <f t="shared" si="1"/>
        <v>54</v>
      </c>
      <c r="L8" s="360"/>
      <c r="M8" s="366" t="s">
        <v>682</v>
      </c>
      <c r="N8" s="366" t="s">
        <v>655</v>
      </c>
      <c r="O8" s="374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</row>
    <row r="9" spans="1:31" ht="15.75" customHeight="1">
      <c r="A9" s="248" t="s">
        <v>436</v>
      </c>
      <c r="B9" s="248" t="s">
        <v>683</v>
      </c>
      <c r="C9" s="369" t="s">
        <v>684</v>
      </c>
      <c r="D9" s="248">
        <v>6</v>
      </c>
      <c r="E9" s="248"/>
      <c r="F9" s="248" t="s">
        <v>650</v>
      </c>
      <c r="G9" s="248">
        <v>235</v>
      </c>
      <c r="H9" s="248">
        <f t="shared" si="0"/>
        <v>1692</v>
      </c>
      <c r="I9" s="248"/>
      <c r="J9" s="248">
        <v>8</v>
      </c>
      <c r="K9" s="248">
        <f t="shared" si="1"/>
        <v>2256</v>
      </c>
      <c r="L9" s="372" t="s">
        <v>219</v>
      </c>
      <c r="M9" s="372" t="s">
        <v>685</v>
      </c>
      <c r="N9" s="372"/>
      <c r="O9" s="375" t="str">
        <f>HYPERLINK("http://www.skf.com/fr/products/bearings-units-housings/super-precision-bearings/angular-contact-ball-bearings/acbb-skf-high-and-super-precision/index.html?designation=S71910%20ACD","site skf")</f>
        <v>site skf</v>
      </c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</row>
    <row r="10" spans="1:31" ht="15.75" customHeight="1">
      <c r="A10" s="248" t="s">
        <v>436</v>
      </c>
      <c r="B10" s="248" t="s">
        <v>688</v>
      </c>
      <c r="C10" s="369" t="s">
        <v>689</v>
      </c>
      <c r="D10" s="248">
        <v>2</v>
      </c>
      <c r="E10" s="248"/>
      <c r="F10" s="248" t="s">
        <v>516</v>
      </c>
      <c r="G10" s="248">
        <v>10</v>
      </c>
      <c r="H10" s="248">
        <f t="shared" si="0"/>
        <v>24</v>
      </c>
      <c r="I10" s="248"/>
      <c r="J10" s="248">
        <v>2</v>
      </c>
      <c r="K10" s="248">
        <f t="shared" si="1"/>
        <v>24</v>
      </c>
      <c r="L10" s="372" t="s">
        <v>219</v>
      </c>
      <c r="M10" s="366" t="s">
        <v>692</v>
      </c>
      <c r="N10" s="366" t="s">
        <v>655</v>
      </c>
      <c r="O10" s="375" t="str">
        <f>HYPERLINK("http://www.skf.com/group/products/bearings-units-housings/bearing-accessories/lock-nuts/requiring-keyway/kml-lock-nuts/index.html?designation=KM%2010","site skf")</f>
        <v>site skf</v>
      </c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</row>
    <row r="11" spans="1:31" ht="15.75" customHeight="1">
      <c r="A11" s="248" t="s">
        <v>436</v>
      </c>
      <c r="B11" s="248" t="s">
        <v>694</v>
      </c>
      <c r="C11" s="369" t="s">
        <v>695</v>
      </c>
      <c r="D11" s="248">
        <v>2</v>
      </c>
      <c r="E11" s="248"/>
      <c r="F11" s="248" t="s">
        <v>516</v>
      </c>
      <c r="G11" s="248">
        <v>1.5</v>
      </c>
      <c r="H11" s="248">
        <f t="shared" si="0"/>
        <v>3.5999999999999996</v>
      </c>
      <c r="I11" s="248"/>
      <c r="J11" s="248">
        <v>2</v>
      </c>
      <c r="K11" s="248">
        <f t="shared" si="1"/>
        <v>3.5999999999999996</v>
      </c>
      <c r="L11" s="372" t="s">
        <v>219</v>
      </c>
      <c r="M11" s="366" t="s">
        <v>697</v>
      </c>
      <c r="N11" s="366"/>
      <c r="O11" s="375" t="str">
        <f>HYPERLINK("http://www.skf.com/group/products/bearings-units-housings/bearing-accessories/lock-nuts/requiring-keyway/mbl-lock-washers/index.html?designation=MB%2010","site skf")</f>
        <v>site skf</v>
      </c>
      <c r="P11" s="378" t="s">
        <v>698</v>
      </c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</row>
    <row r="12" spans="1:31" ht="15.75" customHeight="1">
      <c r="A12" s="248" t="s">
        <v>457</v>
      </c>
      <c r="B12" s="248" t="s">
        <v>699</v>
      </c>
      <c r="C12" s="379" t="s">
        <v>700</v>
      </c>
      <c r="D12" s="248">
        <v>2</v>
      </c>
      <c r="E12" s="248">
        <v>2</v>
      </c>
      <c r="F12" s="248" t="s">
        <v>701</v>
      </c>
      <c r="G12" s="248">
        <v>0.5</v>
      </c>
      <c r="H12" s="248">
        <f t="shared" si="0"/>
        <v>2.4</v>
      </c>
      <c r="I12" s="248"/>
      <c r="J12" s="248">
        <v>4</v>
      </c>
      <c r="K12" s="248">
        <f t="shared" si="1"/>
        <v>2.4</v>
      </c>
      <c r="L12" s="360" t="s">
        <v>702</v>
      </c>
      <c r="M12" s="372" t="s">
        <v>703</v>
      </c>
      <c r="N12" s="372"/>
      <c r="O12" s="344"/>
      <c r="P12" s="378" t="s">
        <v>698</v>
      </c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</row>
    <row r="13" spans="1:31" ht="15.75" customHeight="1">
      <c r="A13" s="248" t="s">
        <v>457</v>
      </c>
      <c r="B13" s="248" t="s">
        <v>704</v>
      </c>
      <c r="C13" s="380" t="s">
        <v>705</v>
      </c>
      <c r="D13" s="248">
        <v>1</v>
      </c>
      <c r="E13" s="248"/>
      <c r="F13" s="248" t="s">
        <v>650</v>
      </c>
      <c r="G13" s="248">
        <v>20</v>
      </c>
      <c r="H13" s="248">
        <f t="shared" si="0"/>
        <v>24</v>
      </c>
      <c r="I13" s="248"/>
      <c r="J13" s="248">
        <v>1</v>
      </c>
      <c r="K13" s="248">
        <f t="shared" si="1"/>
        <v>24</v>
      </c>
      <c r="L13" s="360" t="s">
        <v>273</v>
      </c>
      <c r="M13" s="366" t="s">
        <v>706</v>
      </c>
      <c r="N13" s="366" t="s">
        <v>655</v>
      </c>
      <c r="O13" s="383" t="s">
        <v>707</v>
      </c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</row>
    <row r="14" spans="1:31" ht="15.75" customHeight="1">
      <c r="A14" s="248" t="s">
        <v>457</v>
      </c>
      <c r="B14" s="248" t="s">
        <v>711</v>
      </c>
      <c r="C14" s="380" t="s">
        <v>712</v>
      </c>
      <c r="D14" s="248">
        <v>1</v>
      </c>
      <c r="E14" s="248"/>
      <c r="F14" s="248" t="s">
        <v>650</v>
      </c>
      <c r="G14" s="248">
        <v>20</v>
      </c>
      <c r="H14" s="248">
        <f t="shared" si="0"/>
        <v>24</v>
      </c>
      <c r="I14" s="248"/>
      <c r="J14" s="248">
        <v>1</v>
      </c>
      <c r="K14" s="248">
        <f t="shared" si="1"/>
        <v>24</v>
      </c>
      <c r="L14" s="360" t="s">
        <v>273</v>
      </c>
      <c r="M14" s="366" t="s">
        <v>713</v>
      </c>
      <c r="N14" s="366" t="s">
        <v>655</v>
      </c>
      <c r="O14" s="383" t="s">
        <v>714</v>
      </c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</row>
    <row r="15" spans="1:31" ht="15.75" customHeight="1">
      <c r="A15" s="248" t="s">
        <v>457</v>
      </c>
      <c r="B15" s="248" t="s">
        <v>718</v>
      </c>
      <c r="C15" s="380" t="s">
        <v>719</v>
      </c>
      <c r="D15" s="248">
        <v>2</v>
      </c>
      <c r="E15" s="248">
        <v>1</v>
      </c>
      <c r="F15" s="248"/>
      <c r="G15" s="248">
        <v>8</v>
      </c>
      <c r="H15" s="248">
        <f t="shared" si="0"/>
        <v>28.799999999999997</v>
      </c>
      <c r="I15" s="248"/>
      <c r="J15" s="248">
        <v>3</v>
      </c>
      <c r="K15" s="248">
        <f t="shared" si="1"/>
        <v>28.799999999999997</v>
      </c>
      <c r="L15" s="360" t="s">
        <v>273</v>
      </c>
      <c r="M15" s="366" t="s">
        <v>720</v>
      </c>
      <c r="N15" s="366" t="s">
        <v>655</v>
      </c>
      <c r="O15" s="344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</row>
    <row r="16" spans="1:31" ht="15.75" customHeight="1">
      <c r="A16" s="248" t="s">
        <v>457</v>
      </c>
      <c r="B16" s="248" t="s">
        <v>721</v>
      </c>
      <c r="C16" s="380" t="s">
        <v>722</v>
      </c>
      <c r="D16" s="248">
        <v>2</v>
      </c>
      <c r="F16" s="248"/>
      <c r="G16" s="248">
        <v>5</v>
      </c>
      <c r="H16" s="248">
        <f>1.2*G16*(E16+D16)</f>
        <v>12</v>
      </c>
      <c r="I16" s="248"/>
      <c r="J16" s="248">
        <v>4</v>
      </c>
      <c r="K16" s="248">
        <f t="shared" si="1"/>
        <v>24</v>
      </c>
      <c r="L16" s="360" t="s">
        <v>273</v>
      </c>
      <c r="M16" s="366" t="s">
        <v>682</v>
      </c>
      <c r="N16" s="366" t="s">
        <v>655</v>
      </c>
      <c r="O16" s="344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</row>
    <row r="17" spans="1:31" ht="15.75" customHeight="1">
      <c r="A17" s="387" t="s">
        <v>436</v>
      </c>
      <c r="B17" s="388" t="s">
        <v>725</v>
      </c>
      <c r="C17" s="390" t="s">
        <v>726</v>
      </c>
      <c r="D17" s="248">
        <v>1</v>
      </c>
      <c r="E17" s="344"/>
      <c r="F17" s="248" t="s">
        <v>701</v>
      </c>
      <c r="G17" s="248">
        <v>15</v>
      </c>
      <c r="H17" s="248">
        <f t="shared" ref="H17:H18" si="2">1.2*G17*(D17+E17)</f>
        <v>18</v>
      </c>
      <c r="I17" s="344"/>
      <c r="J17" s="248">
        <v>2</v>
      </c>
      <c r="K17" s="248">
        <f t="shared" si="1"/>
        <v>36</v>
      </c>
      <c r="L17" s="393"/>
      <c r="M17" s="366" t="s">
        <v>732</v>
      </c>
      <c r="N17" s="248" t="s">
        <v>733</v>
      </c>
      <c r="O17" s="394" t="s">
        <v>734</v>
      </c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</row>
    <row r="18" spans="1:31" ht="15.75" customHeight="1">
      <c r="A18" s="248" t="s">
        <v>436</v>
      </c>
      <c r="B18" s="248" t="s">
        <v>737</v>
      </c>
      <c r="C18" s="366" t="s">
        <v>738</v>
      </c>
      <c r="D18" s="248">
        <v>4</v>
      </c>
      <c r="E18" s="248">
        <v>2</v>
      </c>
      <c r="F18" s="248"/>
      <c r="G18" s="248">
        <v>0.6</v>
      </c>
      <c r="H18" s="248">
        <f t="shared" si="2"/>
        <v>4.32</v>
      </c>
      <c r="I18" s="248"/>
      <c r="J18" s="248">
        <v>6</v>
      </c>
      <c r="K18" s="248">
        <f t="shared" si="1"/>
        <v>4.3199999999999994</v>
      </c>
      <c r="L18" s="372" t="s">
        <v>247</v>
      </c>
      <c r="M18" s="248" t="s">
        <v>739</v>
      </c>
      <c r="N18" s="344"/>
      <c r="O18" s="397" t="s">
        <v>740</v>
      </c>
      <c r="P18" s="378" t="s">
        <v>743</v>
      </c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</row>
    <row r="19" spans="1:31" ht="15.75" customHeight="1">
      <c r="A19" s="276"/>
      <c r="B19" s="276"/>
      <c r="C19" s="276"/>
      <c r="D19" s="276"/>
      <c r="E19" s="276"/>
      <c r="F19" s="352"/>
      <c r="G19" s="352"/>
      <c r="H19" s="352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</row>
    <row r="20" spans="1:31" ht="15.75" customHeight="1">
      <c r="A20" s="276"/>
      <c r="B20" s="276"/>
      <c r="C20" s="276"/>
      <c r="D20" s="276"/>
      <c r="E20" s="276"/>
      <c r="F20" s="352"/>
      <c r="G20" s="248" t="s">
        <v>745</v>
      </c>
      <c r="H20" s="248">
        <f>SUM(H2:H18)</f>
        <v>1876.32</v>
      </c>
      <c r="I20" s="276"/>
      <c r="J20" s="248" t="s">
        <v>748</v>
      </c>
      <c r="K20" s="344">
        <f>SUM(K2:K18)</f>
        <v>3783.36</v>
      </c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</row>
    <row r="21" spans="1:31" ht="15.75" customHeight="1">
      <c r="A21" s="276"/>
      <c r="B21" s="276"/>
      <c r="C21" s="276"/>
      <c r="D21" s="276"/>
      <c r="E21" s="276"/>
      <c r="F21" s="276"/>
      <c r="G21" s="276"/>
      <c r="H21" s="276"/>
      <c r="I21" s="276"/>
      <c r="J21" s="248" t="s">
        <v>750</v>
      </c>
      <c r="K21" s="344">
        <f>SUM(H2:H18)-SUM(K2:K18)</f>
        <v>-1907.0400000000002</v>
      </c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</row>
    <row r="22" spans="1:31" ht="15.75" customHeight="1">
      <c r="A22" s="276"/>
      <c r="B22" s="276"/>
      <c r="C22" s="276"/>
      <c r="D22" s="276"/>
      <c r="E22" s="276"/>
      <c r="F22" s="276"/>
      <c r="G22" s="276"/>
      <c r="H22" s="276"/>
      <c r="I22" s="276"/>
      <c r="J22" s="248" t="s">
        <v>751</v>
      </c>
      <c r="K22" s="248">
        <v>2360</v>
      </c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</row>
    <row r="23" spans="1:31" ht="15.75" customHeight="1">
      <c r="A23" s="398" t="s">
        <v>752</v>
      </c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</row>
    <row r="24" spans="1:31" ht="15.75" customHeight="1">
      <c r="B24" s="248" t="s">
        <v>754</v>
      </c>
      <c r="C24" s="248" t="s">
        <v>756</v>
      </c>
      <c r="D24" s="248" t="s">
        <v>427</v>
      </c>
      <c r="E24" s="248" t="s">
        <v>545</v>
      </c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</row>
    <row r="25" spans="1:31" ht="15.75" customHeight="1">
      <c r="A25" s="248" t="s">
        <v>436</v>
      </c>
      <c r="B25" s="248" t="s">
        <v>757</v>
      </c>
      <c r="C25" s="248" t="s">
        <v>758</v>
      </c>
      <c r="D25" s="379" t="s">
        <v>660</v>
      </c>
      <c r="E25" s="248">
        <v>6</v>
      </c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</row>
    <row r="26" spans="1:31" ht="15.75" customHeight="1">
      <c r="A26" s="248" t="s">
        <v>436</v>
      </c>
      <c r="B26" s="248" t="s">
        <v>757</v>
      </c>
      <c r="C26" s="248" t="s">
        <v>665</v>
      </c>
      <c r="D26" s="379" t="s">
        <v>666</v>
      </c>
      <c r="E26" s="248">
        <v>14</v>
      </c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</row>
    <row r="27" spans="1:31" ht="15.75" customHeight="1">
      <c r="A27" s="248" t="s">
        <v>436</v>
      </c>
      <c r="B27" s="248" t="s">
        <v>757</v>
      </c>
      <c r="C27" s="248" t="s">
        <v>669</v>
      </c>
      <c r="D27" s="379" t="s">
        <v>670</v>
      </c>
      <c r="E27" s="248">
        <v>12</v>
      </c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</row>
    <row r="28" spans="1:31" ht="15.75" customHeight="1">
      <c r="A28" s="248" t="s">
        <v>436</v>
      </c>
      <c r="B28" s="248" t="s">
        <v>757</v>
      </c>
      <c r="C28" s="248" t="s">
        <v>672</v>
      </c>
      <c r="D28" s="379" t="s">
        <v>674</v>
      </c>
      <c r="E28" s="248">
        <v>3</v>
      </c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</row>
    <row r="29" spans="1:31" ht="13.8">
      <c r="A29" s="248" t="s">
        <v>436</v>
      </c>
      <c r="B29" s="248" t="s">
        <v>757</v>
      </c>
      <c r="C29" s="248" t="s">
        <v>675</v>
      </c>
      <c r="D29" s="379" t="s">
        <v>676</v>
      </c>
      <c r="E29" s="248">
        <v>24</v>
      </c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</row>
    <row r="30" spans="1:31" ht="13.2">
      <c r="A30" s="276"/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</row>
    <row r="31" spans="1:31" ht="13.2">
      <c r="A31" s="276"/>
      <c r="B31" s="248" t="s">
        <v>754</v>
      </c>
      <c r="C31" s="248" t="s">
        <v>756</v>
      </c>
      <c r="D31" s="248" t="s">
        <v>427</v>
      </c>
      <c r="E31" s="248" t="s">
        <v>545</v>
      </c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</row>
    <row r="32" spans="1:31" ht="13.8">
      <c r="A32" s="276"/>
      <c r="B32" s="248" t="s">
        <v>759</v>
      </c>
      <c r="C32" s="248" t="s">
        <v>760</v>
      </c>
      <c r="D32" s="379" t="s">
        <v>761</v>
      </c>
      <c r="E32" s="248">
        <v>6</v>
      </c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</row>
    <row r="33" spans="1:31" ht="13.8">
      <c r="A33" s="276"/>
      <c r="B33" s="248" t="s">
        <v>759</v>
      </c>
      <c r="C33" s="248" t="s">
        <v>762</v>
      </c>
      <c r="D33" s="379" t="s">
        <v>763</v>
      </c>
      <c r="E33" s="248">
        <v>14</v>
      </c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</row>
    <row r="34" spans="1:31" ht="13.8">
      <c r="A34" s="276"/>
      <c r="B34" s="248" t="s">
        <v>759</v>
      </c>
      <c r="C34" s="248" t="s">
        <v>764</v>
      </c>
      <c r="D34" s="379" t="s">
        <v>765</v>
      </c>
      <c r="E34" s="248">
        <v>12</v>
      </c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</row>
    <row r="35" spans="1:31" ht="13.8">
      <c r="A35" s="276"/>
      <c r="B35" s="248" t="s">
        <v>759</v>
      </c>
      <c r="C35" s="248" t="s">
        <v>768</v>
      </c>
      <c r="D35" s="379" t="s">
        <v>769</v>
      </c>
      <c r="E35" s="248">
        <v>3</v>
      </c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</row>
    <row r="36" spans="1:31" ht="13.8">
      <c r="A36" s="276"/>
      <c r="B36" s="248" t="s">
        <v>759</v>
      </c>
      <c r="C36" s="248" t="s">
        <v>675</v>
      </c>
      <c r="D36" s="379" t="s">
        <v>773</v>
      </c>
      <c r="E36" s="248">
        <v>24</v>
      </c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</row>
    <row r="37" spans="1:31" ht="13.2">
      <c r="A37" s="276"/>
      <c r="B37" s="276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</row>
    <row r="38" spans="1:31" ht="13.2">
      <c r="A38" s="276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</row>
    <row r="39" spans="1:31" ht="13.2">
      <c r="A39" s="276"/>
      <c r="B39" s="276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</row>
    <row r="40" spans="1:31" ht="13.2">
      <c r="A40" s="276"/>
      <c r="B40" s="276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</row>
    <row r="41" spans="1:31" ht="13.2">
      <c r="A41" s="276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</row>
    <row r="42" spans="1:31" ht="13.2">
      <c r="A42" s="276"/>
      <c r="B42" s="276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</row>
    <row r="43" spans="1:31" ht="13.2">
      <c r="A43" s="276"/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</row>
    <row r="44" spans="1:31" ht="13.2">
      <c r="A44" s="276"/>
      <c r="B44" s="276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</row>
    <row r="45" spans="1:31" ht="13.2">
      <c r="A45" s="276"/>
      <c r="B45" s="27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</row>
    <row r="46" spans="1:31" ht="13.2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</row>
    <row r="47" spans="1:31" ht="13.2">
      <c r="A47" s="276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</row>
  </sheetData>
  <mergeCells count="2">
    <mergeCell ref="O3:U3"/>
    <mergeCell ref="O2:U2"/>
  </mergeCells>
  <conditionalFormatting sqref="F2:F18">
    <cfRule type="containsText" dxfId="2" priority="1" operator="containsText" text="Importante">
      <formula>NOT(ISERROR(SEARCH(("Importante"),(F2))))</formula>
    </cfRule>
  </conditionalFormatting>
  <conditionalFormatting sqref="F2:F18">
    <cfRule type="containsText" dxfId="1" priority="2" operator="containsText" text="Moyenne">
      <formula>NOT(ISERROR(SEARCH(("Moyenne"),(F2))))</formula>
    </cfRule>
  </conditionalFormatting>
  <conditionalFormatting sqref="F2:F18">
    <cfRule type="containsText" dxfId="0" priority="3" operator="containsText" text="Faible">
      <formula>NOT(ISERROR(SEARCH(("Faible"),(F2))))</formula>
    </cfRule>
  </conditionalFormatting>
  <dataValidations count="1">
    <dataValidation type="list" allowBlank="1" sqref="F2:F18">
      <formula1>"Importante,Moyenne,Faible"</formula1>
    </dataValidation>
  </dataValidations>
  <hyperlinks>
    <hyperlink ref="O2" r:id="rId1"/>
    <hyperlink ref="O3" r:id="rId2"/>
    <hyperlink ref="O13" r:id="rId3"/>
    <hyperlink ref="O14" r:id="rId4"/>
    <hyperlink ref="O17" r:id="rId5"/>
    <hyperlink ref="O18" r:id="rId6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457</v>
      </c>
      <c r="B2" s="272" t="s">
        <v>687</v>
      </c>
      <c r="C2" s="202">
        <v>521650</v>
      </c>
      <c r="D2" s="272">
        <v>4</v>
      </c>
      <c r="E2" s="272">
        <v>1</v>
      </c>
      <c r="F2" s="272">
        <v>2.86</v>
      </c>
      <c r="G2" s="272">
        <v>11.44</v>
      </c>
      <c r="H2" s="272">
        <v>17.2</v>
      </c>
      <c r="I2" s="272" t="s">
        <v>266</v>
      </c>
      <c r="J2" s="272" t="s">
        <v>690</v>
      </c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/>
  </sheetViews>
  <sheetFormatPr baseColWidth="10" defaultColWidth="14.44140625" defaultRowHeight="15.75" customHeight="1"/>
  <cols>
    <col min="1" max="1" width="14.88671875" customWidth="1"/>
    <col min="2" max="2" width="16.5546875" customWidth="1"/>
    <col min="11" max="11" width="68.33203125" customWidth="1"/>
  </cols>
  <sheetData>
    <row r="1" spans="1:11" ht="15.75" customHeight="1">
      <c r="A1" s="275" t="s">
        <v>195</v>
      </c>
      <c r="B1" s="275" t="s">
        <v>426</v>
      </c>
      <c r="C1" s="275" t="s">
        <v>427</v>
      </c>
      <c r="D1" s="275" t="s">
        <v>428</v>
      </c>
      <c r="E1" s="275" t="s">
        <v>429</v>
      </c>
      <c r="F1" s="275" t="s">
        <v>430</v>
      </c>
      <c r="G1" s="275" t="s">
        <v>431</v>
      </c>
      <c r="H1" s="247" t="s">
        <v>432</v>
      </c>
      <c r="I1" s="275" t="s">
        <v>433</v>
      </c>
      <c r="J1" s="275" t="s">
        <v>434</v>
      </c>
      <c r="K1" s="389" t="s">
        <v>435</v>
      </c>
    </row>
    <row r="2" spans="1:11" ht="15.75" customHeight="1">
      <c r="A2" s="248" t="s">
        <v>727</v>
      </c>
      <c r="B2" s="248" t="s">
        <v>728</v>
      </c>
      <c r="C2" s="92" t="s">
        <v>495</v>
      </c>
      <c r="D2" s="248">
        <v>1</v>
      </c>
      <c r="E2" s="248">
        <v>0</v>
      </c>
      <c r="F2" s="248">
        <v>99.9</v>
      </c>
      <c r="G2" s="248">
        <v>99.9</v>
      </c>
      <c r="H2" s="248"/>
      <c r="I2" s="248" t="s">
        <v>266</v>
      </c>
      <c r="J2" s="248"/>
      <c r="K2" s="383" t="s">
        <v>730</v>
      </c>
    </row>
  </sheetData>
  <hyperlinks>
    <hyperlink ref="K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58"/>
  <sheetViews>
    <sheetView showGridLines="0" zoomScale="70" zoomScaleNormal="70" workbookViewId="0">
      <pane ySplit="2" topLeftCell="A3" activePane="bottomLeft" state="frozen"/>
      <selection pane="bottomLeft" activeCell="B4" sqref="B4"/>
    </sheetView>
  </sheetViews>
  <sheetFormatPr baseColWidth="10" defaultColWidth="14.44140625" defaultRowHeight="15.75" customHeight="1"/>
  <cols>
    <col min="1" max="1" width="25" customWidth="1"/>
    <col min="2" max="2" width="13.6640625" customWidth="1"/>
    <col min="3" max="3" width="10" customWidth="1"/>
    <col min="4" max="4" width="19.5546875" customWidth="1"/>
    <col min="5" max="5" width="17.33203125" customWidth="1"/>
    <col min="6" max="6" width="17.6640625" customWidth="1"/>
    <col min="7" max="7" width="15.109375" customWidth="1"/>
    <col min="10" max="10" width="17.44140625" customWidth="1"/>
    <col min="11" max="11" width="13" customWidth="1"/>
    <col min="12" max="12" width="21.44140625" customWidth="1"/>
    <col min="14" max="14" width="27" customWidth="1"/>
    <col min="15" max="15" width="9.5546875" customWidth="1"/>
    <col min="16" max="16" width="11.88671875" customWidth="1"/>
  </cols>
  <sheetData>
    <row r="1" spans="1:33" ht="15.6">
      <c r="A1" s="439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1"/>
      <c r="O1" s="33"/>
      <c r="P1" s="34">
        <v>43565</v>
      </c>
      <c r="Q1" s="35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41.4">
      <c r="A2" s="40" t="s">
        <v>195</v>
      </c>
      <c r="B2" s="41" t="s">
        <v>196</v>
      </c>
      <c r="C2" s="41" t="s">
        <v>197</v>
      </c>
      <c r="D2" s="41" t="s">
        <v>198</v>
      </c>
      <c r="E2" s="41" t="s">
        <v>199</v>
      </c>
      <c r="F2" s="42" t="s">
        <v>200</v>
      </c>
      <c r="G2" s="41" t="s">
        <v>201</v>
      </c>
      <c r="H2" s="41" t="s">
        <v>202</v>
      </c>
      <c r="I2" s="42" t="s">
        <v>203</v>
      </c>
      <c r="J2" s="41" t="s">
        <v>204</v>
      </c>
      <c r="K2" s="42" t="s">
        <v>205</v>
      </c>
      <c r="L2" s="42" t="s">
        <v>206</v>
      </c>
      <c r="M2" s="42" t="s">
        <v>207</v>
      </c>
      <c r="N2" s="43" t="s">
        <v>208</v>
      </c>
      <c r="O2" s="44" t="s">
        <v>209</v>
      </c>
      <c r="P2" s="45" t="s">
        <v>210</v>
      </c>
      <c r="Q2" s="46" t="s">
        <v>211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3" ht="13.8">
      <c r="A3" s="444" t="s">
        <v>374</v>
      </c>
      <c r="B3" s="47"/>
      <c r="C3" s="48" t="s">
        <v>17</v>
      </c>
      <c r="D3" s="49"/>
      <c r="E3" s="202" t="s">
        <v>375</v>
      </c>
      <c r="F3" s="49" t="s">
        <v>376</v>
      </c>
      <c r="G3" s="51"/>
      <c r="H3" s="52"/>
      <c r="I3" s="52">
        <v>27.59</v>
      </c>
      <c r="J3" s="49"/>
      <c r="K3" s="53"/>
      <c r="L3" s="54" t="s">
        <v>379</v>
      </c>
      <c r="M3" s="49"/>
      <c r="N3" s="55"/>
      <c r="O3" s="56">
        <f ca="1">IF(OR(L3 = "Livré",L3 = "Commandé",L3="Devis accepté", L3 ="BDL reçu"),"Ok",(NOW()-K3))</f>
        <v>43637.789408564815</v>
      </c>
      <c r="P3" s="57">
        <f ca="1">IF(OR(L3="Livré",L3="Commandé",L3="BDL reçu"),"Ok",IF(J3="",$P$1-NOW()-7*$J$76,$P$1-NOW()-J3*7))</f>
        <v>-86.789408564814948</v>
      </c>
      <c r="Q3" s="58" t="e">
        <f ca="1">IF(NOT(OR(L3 = "Livré",L3 = "BDL reçu")),_xludf.days(NOW(),K3),"ok")</f>
        <v>#NAME?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13.8">
      <c r="A4" s="431"/>
      <c r="B4" s="59"/>
      <c r="C4" s="60" t="s">
        <v>380</v>
      </c>
      <c r="D4" s="225" t="s">
        <v>381</v>
      </c>
      <c r="E4" s="62" t="s">
        <v>382</v>
      </c>
      <c r="F4" s="225" t="s">
        <v>339</v>
      </c>
      <c r="G4" s="63"/>
      <c r="H4" s="63"/>
      <c r="I4" s="226">
        <v>13.66</v>
      </c>
      <c r="J4" s="65"/>
      <c r="K4" s="61"/>
      <c r="L4" s="54"/>
      <c r="M4" s="65"/>
      <c r="N4" s="67"/>
      <c r="O4" s="68"/>
      <c r="P4" s="69"/>
      <c r="Q4" s="58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13.8">
      <c r="A5" s="431"/>
      <c r="B5" s="59"/>
      <c r="C5" s="60" t="s">
        <v>380</v>
      </c>
      <c r="D5" s="225" t="s">
        <v>381</v>
      </c>
      <c r="E5" s="62" t="s">
        <v>382</v>
      </c>
      <c r="F5" s="225" t="s">
        <v>339</v>
      </c>
      <c r="G5" s="63"/>
      <c r="H5" s="63"/>
      <c r="I5" s="226">
        <v>16.25</v>
      </c>
      <c r="J5" s="65"/>
      <c r="K5" s="71"/>
      <c r="L5" s="54"/>
      <c r="M5" s="61"/>
      <c r="N5" s="67"/>
      <c r="O5" s="68">
        <f t="shared" ref="O5:O24" ca="1" si="0">IF(OR(L5 = "Livré",L5 = "Commandé",L5="Devis accepté", L5 ="BDL reçu"),"Ok",(NOW()-K5))</f>
        <v>43637.789408564815</v>
      </c>
      <c r="P5" s="69">
        <f t="shared" ref="P5:P24" ca="1" si="1">IF(OR(L5="Livré",L5="Commandé",L5="BDL reçu"),"Ok",IF(J5="",$P$1-NOW()-7*$J$76,$P$1-NOW()-J5*7))</f>
        <v>-86.789408564814948</v>
      </c>
      <c r="Q5" s="58" t="e">
        <f t="shared" ref="Q5:Q24" ca="1" si="2">IF(NOT(OR(L5 = "Livré",L5 = "BDL reçu")),_xludf.days(NOW(),K5),"ok")</f>
        <v>#NAME?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</row>
    <row r="6" spans="1:33" ht="13.8">
      <c r="A6" s="431"/>
      <c r="B6" s="72"/>
      <c r="C6" s="60" t="s">
        <v>380</v>
      </c>
      <c r="D6" s="225" t="s">
        <v>381</v>
      </c>
      <c r="E6" s="62" t="s">
        <v>382</v>
      </c>
      <c r="F6" s="225" t="s">
        <v>345</v>
      </c>
      <c r="G6" s="75"/>
      <c r="H6" s="75"/>
      <c r="I6" s="226">
        <v>37.75</v>
      </c>
      <c r="J6" s="77"/>
      <c r="K6" s="78"/>
      <c r="L6" s="54"/>
      <c r="M6" s="77"/>
      <c r="N6" s="79"/>
      <c r="O6" s="68">
        <f t="shared" ca="1" si="0"/>
        <v>43637.789408564815</v>
      </c>
      <c r="P6" s="69">
        <f t="shared" ca="1" si="1"/>
        <v>-86.789408564814948</v>
      </c>
      <c r="Q6" s="58" t="e">
        <f t="shared" ca="1" si="2"/>
        <v>#NAME?</v>
      </c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 spans="1:33" ht="13.8">
      <c r="A7" s="431"/>
      <c r="B7" s="72"/>
      <c r="C7" s="60" t="s">
        <v>380</v>
      </c>
      <c r="D7" s="74"/>
      <c r="E7" s="225" t="s">
        <v>386</v>
      </c>
      <c r="F7" s="225" t="s">
        <v>387</v>
      </c>
      <c r="G7" s="75"/>
      <c r="H7" s="75"/>
      <c r="I7" s="226">
        <v>28.51</v>
      </c>
      <c r="J7" s="77"/>
      <c r="K7" s="78"/>
      <c r="L7" s="54"/>
      <c r="M7" s="77"/>
      <c r="N7" s="79"/>
      <c r="O7" s="68">
        <f t="shared" ca="1" si="0"/>
        <v>43637.789408564815</v>
      </c>
      <c r="P7" s="69">
        <f t="shared" ca="1" si="1"/>
        <v>-86.789408564814948</v>
      </c>
      <c r="Q7" s="58" t="e">
        <f t="shared" ca="1" si="2"/>
        <v>#NAME?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ht="15.75" customHeight="1">
      <c r="A8" s="431"/>
      <c r="B8" s="72"/>
      <c r="C8" s="60" t="s">
        <v>340</v>
      </c>
      <c r="D8" s="74"/>
      <c r="E8" s="225" t="s">
        <v>386</v>
      </c>
      <c r="F8" s="225" t="s">
        <v>390</v>
      </c>
      <c r="G8" s="76"/>
      <c r="H8" s="76"/>
      <c r="I8" s="226">
        <v>17.5</v>
      </c>
      <c r="J8" s="77"/>
      <c r="K8" s="78"/>
      <c r="L8" s="54"/>
      <c r="M8" s="77"/>
      <c r="N8" s="81"/>
      <c r="O8" s="68">
        <f t="shared" ca="1" si="0"/>
        <v>43637.789408564815</v>
      </c>
      <c r="P8" s="69">
        <f t="shared" ca="1" si="1"/>
        <v>-86.789408564814948</v>
      </c>
      <c r="Q8" s="58" t="e">
        <f t="shared" ca="1" si="2"/>
        <v>#NAME?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ht="13.8">
      <c r="A9" s="431"/>
      <c r="B9" s="82"/>
      <c r="C9" s="60" t="s">
        <v>380</v>
      </c>
      <c r="D9" s="202" t="s">
        <v>392</v>
      </c>
      <c r="E9" s="202" t="s">
        <v>393</v>
      </c>
      <c r="G9" s="64"/>
      <c r="H9" s="64"/>
      <c r="I9" s="202">
        <v>27.56</v>
      </c>
      <c r="J9" s="65"/>
      <c r="K9" s="65"/>
      <c r="L9" s="54"/>
      <c r="M9" s="65"/>
      <c r="N9" s="67"/>
      <c r="O9" s="68">
        <f t="shared" ca="1" si="0"/>
        <v>43637.789408564815</v>
      </c>
      <c r="P9" s="69">
        <f t="shared" ca="1" si="1"/>
        <v>-86.789408564814948</v>
      </c>
      <c r="Q9" s="58" t="e">
        <f t="shared" ca="1" si="2"/>
        <v>#NAME?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spans="1:33" ht="13.8">
      <c r="A10" s="431"/>
      <c r="B10" s="83"/>
      <c r="C10" s="60" t="s">
        <v>396</v>
      </c>
      <c r="D10" s="225" t="s">
        <v>397</v>
      </c>
      <c r="E10" s="225" t="s">
        <v>398</v>
      </c>
      <c r="F10" s="225" t="s">
        <v>399</v>
      </c>
      <c r="G10" s="75"/>
      <c r="H10" s="76"/>
      <c r="I10" s="226">
        <v>84</v>
      </c>
      <c r="J10" s="74"/>
      <c r="K10" s="74"/>
      <c r="L10" s="54"/>
      <c r="M10" s="77"/>
      <c r="N10" s="86"/>
      <c r="O10" s="68">
        <f t="shared" ca="1" si="0"/>
        <v>43637.789408564815</v>
      </c>
      <c r="P10" s="69">
        <f t="shared" ca="1" si="1"/>
        <v>-86.789408564814948</v>
      </c>
      <c r="Q10" s="58" t="e">
        <f t="shared" ca="1" si="2"/>
        <v>#NAME?</v>
      </c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 ht="13.8">
      <c r="A11" s="431"/>
      <c r="B11" s="82"/>
      <c r="C11" s="60" t="s">
        <v>380</v>
      </c>
      <c r="D11" s="225" t="s">
        <v>400</v>
      </c>
      <c r="E11" s="225" t="s">
        <v>401</v>
      </c>
      <c r="F11" s="225" t="s">
        <v>399</v>
      </c>
      <c r="G11" s="64"/>
      <c r="H11" s="64"/>
      <c r="I11" s="226">
        <v>49.5</v>
      </c>
      <c r="J11" s="65"/>
      <c r="K11" s="71"/>
      <c r="L11" s="54"/>
      <c r="M11" s="65"/>
      <c r="N11" s="87"/>
      <c r="O11" s="68">
        <f t="shared" ca="1" si="0"/>
        <v>43637.789408564815</v>
      </c>
      <c r="P11" s="69">
        <f t="shared" ca="1" si="1"/>
        <v>-86.789408564814948</v>
      </c>
      <c r="Q11" s="58" t="e">
        <f t="shared" ca="1" si="2"/>
        <v>#NAME?</v>
      </c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ht="13.8">
      <c r="A12" s="431"/>
      <c r="B12" s="82"/>
      <c r="C12" s="82"/>
      <c r="D12" s="61"/>
      <c r="E12" s="202" t="s">
        <v>404</v>
      </c>
      <c r="F12" s="202" t="s">
        <v>405</v>
      </c>
      <c r="G12" s="63"/>
      <c r="H12" s="64"/>
      <c r="I12" s="202">
        <v>19.399999999999999</v>
      </c>
      <c r="J12" s="65"/>
      <c r="K12" s="65"/>
      <c r="L12" s="54"/>
      <c r="M12" s="65"/>
      <c r="N12" s="61"/>
      <c r="O12" s="68">
        <f t="shared" ca="1" si="0"/>
        <v>43637.789408564815</v>
      </c>
      <c r="P12" s="69">
        <f t="shared" ca="1" si="1"/>
        <v>-86.789408564814948</v>
      </c>
      <c r="Q12" s="58" t="e">
        <f t="shared" ca="1" si="2"/>
        <v>#NAME?</v>
      </c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13.8">
      <c r="A13" s="431"/>
      <c r="B13" s="82"/>
      <c r="C13" s="60" t="s">
        <v>340</v>
      </c>
      <c r="D13" s="202" t="s">
        <v>113</v>
      </c>
      <c r="E13" s="202" t="s">
        <v>406</v>
      </c>
      <c r="F13" s="202" t="s">
        <v>113</v>
      </c>
      <c r="G13" s="63"/>
      <c r="H13" s="64"/>
      <c r="I13" s="63">
        <v>171</v>
      </c>
      <c r="J13" s="65"/>
      <c r="K13" s="65"/>
      <c r="L13" s="54"/>
      <c r="M13" s="65"/>
      <c r="N13" s="88"/>
      <c r="O13" s="68">
        <f t="shared" ca="1" si="0"/>
        <v>43637.789408564815</v>
      </c>
      <c r="P13" s="69">
        <f t="shared" ca="1" si="1"/>
        <v>-86.789408564814948</v>
      </c>
      <c r="Q13" s="58" t="e">
        <f t="shared" ca="1" si="2"/>
        <v>#NAME?</v>
      </c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3.8">
      <c r="A14" s="431"/>
      <c r="B14" s="82"/>
      <c r="C14" s="60"/>
      <c r="D14" s="61"/>
      <c r="E14" s="62"/>
      <c r="F14" s="61"/>
      <c r="G14" s="64"/>
      <c r="H14" s="64"/>
      <c r="I14" s="63"/>
      <c r="J14" s="65"/>
      <c r="K14" s="71"/>
      <c r="L14" s="54"/>
      <c r="M14" s="65"/>
      <c r="N14" s="89"/>
      <c r="O14" s="68">
        <f t="shared" ca="1" si="0"/>
        <v>43637.789408564815</v>
      </c>
      <c r="P14" s="69">
        <f t="shared" ca="1" si="1"/>
        <v>-86.789408564814948</v>
      </c>
      <c r="Q14" s="58" t="e">
        <f t="shared" ca="1" si="2"/>
        <v>#NAME?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3.8">
      <c r="A15" s="431"/>
      <c r="B15" s="90"/>
      <c r="C15" s="91"/>
      <c r="D15" s="92"/>
      <c r="E15" s="62"/>
      <c r="F15" s="61"/>
      <c r="G15" s="93"/>
      <c r="H15" s="94"/>
      <c r="I15" s="93"/>
      <c r="J15" s="95"/>
      <c r="K15" s="96"/>
      <c r="L15" s="54"/>
      <c r="M15" s="95"/>
      <c r="N15" s="89"/>
      <c r="O15" s="68">
        <f t="shared" ca="1" si="0"/>
        <v>43637.789408564815</v>
      </c>
      <c r="P15" s="69">
        <f t="shared" ca="1" si="1"/>
        <v>-86.789408564814948</v>
      </c>
      <c r="Q15" s="58" t="e">
        <f t="shared" ca="1" si="2"/>
        <v>#NAME?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 ht="13.8">
      <c r="A16" s="431"/>
      <c r="B16" s="82"/>
      <c r="C16" s="60"/>
      <c r="D16" s="92"/>
      <c r="E16" s="62"/>
      <c r="F16" s="61"/>
      <c r="G16" s="93"/>
      <c r="H16" s="93"/>
      <c r="I16" s="93"/>
      <c r="J16" s="95"/>
      <c r="K16" s="96"/>
      <c r="L16" s="54"/>
      <c r="M16" s="95"/>
      <c r="N16" s="89"/>
      <c r="O16" s="68">
        <f t="shared" ca="1" si="0"/>
        <v>43637.789408564815</v>
      </c>
      <c r="P16" s="69">
        <f t="shared" ca="1" si="1"/>
        <v>-86.789408564814948</v>
      </c>
      <c r="Q16" s="58" t="e">
        <f t="shared" ca="1" si="2"/>
        <v>#NAME?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13.8">
      <c r="A17" s="431"/>
      <c r="B17" s="82"/>
      <c r="C17" s="60"/>
      <c r="D17" s="92"/>
      <c r="E17" s="62"/>
      <c r="F17" s="98"/>
      <c r="G17" s="93"/>
      <c r="H17" s="94"/>
      <c r="I17" s="93"/>
      <c r="J17" s="95"/>
      <c r="K17" s="96"/>
      <c r="L17" s="54"/>
      <c r="M17" s="95"/>
      <c r="N17" s="89"/>
      <c r="O17" s="68">
        <f t="shared" ca="1" si="0"/>
        <v>43637.789408564815</v>
      </c>
      <c r="P17" s="69">
        <f t="shared" ca="1" si="1"/>
        <v>-86.789408564814948</v>
      </c>
      <c r="Q17" s="58" t="e">
        <f t="shared" ca="1" si="2"/>
        <v>#NAME?</v>
      </c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ht="13.8">
      <c r="A18" s="432"/>
      <c r="B18" s="99"/>
      <c r="C18" s="100"/>
      <c r="D18" s="101"/>
      <c r="E18" s="102"/>
      <c r="F18" s="103"/>
      <c r="G18" s="104"/>
      <c r="H18" s="105"/>
      <c r="I18" s="104"/>
      <c r="J18" s="106"/>
      <c r="K18" s="107"/>
      <c r="L18" s="54"/>
      <c r="M18" s="106"/>
      <c r="N18" s="109"/>
      <c r="O18" s="68">
        <f t="shared" ca="1" si="0"/>
        <v>43637.789408564815</v>
      </c>
      <c r="P18" s="69">
        <f t="shared" ca="1" si="1"/>
        <v>-86.789408564814948</v>
      </c>
      <c r="Q18" s="58" t="e">
        <f t="shared" ca="1" si="2"/>
        <v>#NAME?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52.8">
      <c r="A19" s="430" t="s">
        <v>249</v>
      </c>
      <c r="B19" s="110"/>
      <c r="C19" s="111"/>
      <c r="D19" s="112"/>
      <c r="E19" s="113"/>
      <c r="F19" s="112"/>
      <c r="G19" s="114"/>
      <c r="H19" s="115"/>
      <c r="I19" s="115"/>
      <c r="J19" s="112"/>
      <c r="K19" s="116"/>
      <c r="L19" s="54"/>
      <c r="M19" s="118"/>
      <c r="N19" s="119" t="s">
        <v>252</v>
      </c>
      <c r="O19" s="68">
        <f t="shared" ca="1" si="0"/>
        <v>43637.789408564815</v>
      </c>
      <c r="P19" s="69">
        <f t="shared" ca="1" si="1"/>
        <v>-86.789408564814948</v>
      </c>
      <c r="Q19" s="58" t="e">
        <f t="shared" ca="1" si="2"/>
        <v>#NAME?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ht="13.8">
      <c r="A20" s="431"/>
      <c r="B20" s="72"/>
      <c r="C20" s="73"/>
      <c r="D20" s="74"/>
      <c r="E20" s="80"/>
      <c r="F20" s="74"/>
      <c r="G20" s="76"/>
      <c r="H20" s="75"/>
      <c r="I20" s="63"/>
      <c r="J20" s="77"/>
      <c r="K20" s="77"/>
      <c r="L20" s="54"/>
      <c r="M20" s="77"/>
      <c r="N20" s="79"/>
      <c r="O20" s="68">
        <f t="shared" ca="1" si="0"/>
        <v>43637.789408564815</v>
      </c>
      <c r="P20" s="69">
        <f t="shared" ca="1" si="1"/>
        <v>-86.789408564814948</v>
      </c>
      <c r="Q20" s="58" t="e">
        <f t="shared" ca="1" si="2"/>
        <v>#NAME?</v>
      </c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spans="1:33" ht="26.4">
      <c r="A21" s="431"/>
      <c r="B21" s="82"/>
      <c r="C21" s="82"/>
      <c r="D21" s="61"/>
      <c r="E21" s="70"/>
      <c r="F21" s="61"/>
      <c r="G21" s="64"/>
      <c r="H21" s="64"/>
      <c r="I21" s="63"/>
      <c r="J21" s="61"/>
      <c r="K21" s="61"/>
      <c r="L21" s="54"/>
      <c r="M21" s="65"/>
      <c r="N21" s="67" t="s">
        <v>259</v>
      </c>
      <c r="O21" s="68">
        <f t="shared" ca="1" si="0"/>
        <v>43637.789408564815</v>
      </c>
      <c r="P21" s="69">
        <f t="shared" ca="1" si="1"/>
        <v>-86.789408564814948</v>
      </c>
      <c r="Q21" s="58" t="e">
        <f t="shared" ca="1" si="2"/>
        <v>#NAME?</v>
      </c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spans="1:33" ht="26.4">
      <c r="A22" s="431"/>
      <c r="B22" s="90"/>
      <c r="C22" s="90"/>
      <c r="D22" s="98"/>
      <c r="E22" s="120"/>
      <c r="F22" s="98"/>
      <c r="G22" s="94"/>
      <c r="H22" s="94"/>
      <c r="I22" s="121"/>
      <c r="J22" s="98"/>
      <c r="K22" s="98"/>
      <c r="L22" s="54"/>
      <c r="M22" s="95"/>
      <c r="N22" s="122" t="s">
        <v>261</v>
      </c>
      <c r="O22" s="68">
        <f t="shared" ca="1" si="0"/>
        <v>43637.789408564815</v>
      </c>
      <c r="P22" s="69">
        <f t="shared" ca="1" si="1"/>
        <v>-86.789408564814948</v>
      </c>
      <c r="Q22" s="58" t="e">
        <f t="shared" ca="1" si="2"/>
        <v>#NAME?</v>
      </c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27" customHeight="1">
      <c r="A23" s="432"/>
      <c r="B23" s="99"/>
      <c r="C23" s="123"/>
      <c r="D23" s="103"/>
      <c r="E23" s="124"/>
      <c r="F23" s="103"/>
      <c r="G23" s="105"/>
      <c r="H23" s="105"/>
      <c r="I23" s="125"/>
      <c r="J23" s="103"/>
      <c r="K23" s="107"/>
      <c r="L23" s="54"/>
      <c r="M23" s="106"/>
      <c r="N23" s="126" t="s">
        <v>263</v>
      </c>
      <c r="O23" s="68">
        <f t="shared" ca="1" si="0"/>
        <v>43637.789408564815</v>
      </c>
      <c r="P23" s="69">
        <f t="shared" ca="1" si="1"/>
        <v>-86.789408564814948</v>
      </c>
      <c r="Q23" s="58" t="e">
        <f t="shared" ca="1" si="2"/>
        <v>#NAME?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3.8">
      <c r="A24" s="442" t="s">
        <v>264</v>
      </c>
      <c r="B24" s="127"/>
      <c r="C24" s="128"/>
      <c r="D24" s="128"/>
      <c r="E24" s="129"/>
      <c r="F24" s="128"/>
      <c r="G24" s="130"/>
      <c r="H24" s="131"/>
      <c r="I24" s="131"/>
      <c r="J24" s="128"/>
      <c r="K24" s="132"/>
      <c r="L24" s="54"/>
      <c r="M24" s="134"/>
      <c r="N24" s="135"/>
      <c r="O24" s="68">
        <f t="shared" ca="1" si="0"/>
        <v>43637.789408564815</v>
      </c>
      <c r="P24" s="69">
        <f t="shared" ca="1" si="1"/>
        <v>-86.789408564814948</v>
      </c>
      <c r="Q24" s="58" t="e">
        <f t="shared" ca="1" si="2"/>
        <v>#NAME?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3.8">
      <c r="A25" s="431"/>
      <c r="B25" s="111"/>
      <c r="C25" s="111"/>
      <c r="D25" s="128"/>
      <c r="E25" s="129"/>
      <c r="F25" s="111"/>
      <c r="G25" s="136"/>
      <c r="H25" s="136"/>
      <c r="I25" s="136"/>
      <c r="J25" s="111"/>
      <c r="K25" s="137"/>
      <c r="L25" s="54"/>
      <c r="M25" s="110"/>
      <c r="N25" s="138"/>
      <c r="O25" s="68"/>
      <c r="P25" s="69"/>
      <c r="Q25" s="58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3.8">
      <c r="A26" s="431"/>
      <c r="B26" s="139"/>
      <c r="C26" s="60"/>
      <c r="D26" s="61"/>
      <c r="E26" s="80"/>
      <c r="F26" s="61"/>
      <c r="G26" s="63"/>
      <c r="H26" s="64"/>
      <c r="I26" s="63"/>
      <c r="J26" s="61"/>
      <c r="K26" s="71"/>
      <c r="L26" s="54"/>
      <c r="M26" s="65"/>
      <c r="N26" s="140"/>
      <c r="O26" s="68">
        <f t="shared" ref="O26:O34" ca="1" si="3">IF(OR(L26 = "Livré",L26 = "Commandé",L26="Devis accepté", L26 ="BDL reçu"),"Ok",(NOW()-K26))</f>
        <v>43637.789408564815</v>
      </c>
      <c r="P26" s="69">
        <f t="shared" ref="P26:P34" ca="1" si="4">IF(OR(L26="Livré",L26="Commandé",L26="BDL reçu"),"Ok",IF(J26="",$P$1-NOW()-7*$J$76,$P$1-NOW()-J26*7))</f>
        <v>-86.789408564814948</v>
      </c>
      <c r="Q26" s="58" t="e">
        <f t="shared" ref="Q26:Q34" ca="1" si="5">IF(NOT(OR(L26 = "Livré",L26 = "BDL reçu")),_xludf.days(NOW(),K26),"ok")</f>
        <v>#NAME?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1:33" ht="13.8">
      <c r="A27" s="431"/>
      <c r="B27" s="134"/>
      <c r="C27" s="128"/>
      <c r="D27" s="141"/>
      <c r="E27" s="113"/>
      <c r="F27" s="112"/>
      <c r="G27" s="142"/>
      <c r="H27" s="142"/>
      <c r="I27" s="143"/>
      <c r="J27" s="144"/>
      <c r="K27" s="145"/>
      <c r="L27" s="54"/>
      <c r="M27" s="144"/>
      <c r="N27" s="119"/>
      <c r="O27" s="68">
        <f t="shared" ca="1" si="3"/>
        <v>43637.789408564815</v>
      </c>
      <c r="P27" s="69">
        <f t="shared" ca="1" si="4"/>
        <v>-86.789408564814948</v>
      </c>
      <c r="Q27" s="58" t="e">
        <f t="shared" ca="1" si="5"/>
        <v>#NAME?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</row>
    <row r="28" spans="1:33" ht="13.8">
      <c r="A28" s="431"/>
      <c r="B28" s="72"/>
      <c r="C28" s="73"/>
      <c r="D28" s="74"/>
      <c r="E28" s="147"/>
      <c r="F28" s="74"/>
      <c r="G28" s="76"/>
      <c r="H28" s="76"/>
      <c r="I28" s="76"/>
      <c r="J28" s="74"/>
      <c r="K28" s="78"/>
      <c r="L28" s="54"/>
      <c r="M28" s="77"/>
      <c r="N28" s="86"/>
      <c r="O28" s="68">
        <f t="shared" ca="1" si="3"/>
        <v>43637.789408564815</v>
      </c>
      <c r="P28" s="69">
        <f t="shared" ca="1" si="4"/>
        <v>-86.789408564814948</v>
      </c>
      <c r="Q28" s="58" t="e">
        <f t="shared" ca="1" si="5"/>
        <v>#NAME?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29" spans="1:33" ht="13.8">
      <c r="A29" s="431"/>
      <c r="B29" s="60"/>
      <c r="C29" s="60"/>
      <c r="D29" s="61"/>
      <c r="E29" s="80"/>
      <c r="F29" s="61"/>
      <c r="G29" s="148"/>
      <c r="H29" s="148"/>
      <c r="I29" s="148"/>
      <c r="J29" s="65"/>
      <c r="K29" s="88"/>
      <c r="L29" s="54"/>
      <c r="M29" s="61"/>
      <c r="N29" s="67"/>
      <c r="O29" s="68">
        <f t="shared" ca="1" si="3"/>
        <v>43637.789408564815</v>
      </c>
      <c r="P29" s="69">
        <f t="shared" ca="1" si="4"/>
        <v>-86.789408564814948</v>
      </c>
      <c r="Q29" s="58" t="e">
        <f t="shared" ca="1" si="5"/>
        <v>#NAME?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</row>
    <row r="30" spans="1:33" ht="13.8">
      <c r="A30" s="431"/>
      <c r="B30" s="149"/>
      <c r="C30" s="73"/>
      <c r="D30" s="74"/>
      <c r="E30" s="80"/>
      <c r="F30" s="61"/>
      <c r="G30" s="88"/>
      <c r="H30" s="148"/>
      <c r="I30" s="148"/>
      <c r="J30" s="150"/>
      <c r="K30" s="151"/>
      <c r="L30" s="54"/>
      <c r="M30" s="65"/>
      <c r="N30" s="67"/>
      <c r="O30" s="68">
        <f t="shared" ca="1" si="3"/>
        <v>43637.789408564815</v>
      </c>
      <c r="P30" s="69">
        <f t="shared" ca="1" si="4"/>
        <v>-86.789408564814948</v>
      </c>
      <c r="Q30" s="58" t="e">
        <f t="shared" ca="1" si="5"/>
        <v>#NAME?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</row>
    <row r="31" spans="1:33" ht="13.8">
      <c r="A31" s="431"/>
      <c r="B31" s="139"/>
      <c r="C31" s="60"/>
      <c r="D31" s="61"/>
      <c r="E31" s="80"/>
      <c r="F31" s="61"/>
      <c r="G31" s="63"/>
      <c r="H31" s="63"/>
      <c r="I31" s="63"/>
      <c r="J31" s="61"/>
      <c r="K31" s="71"/>
      <c r="L31" s="54"/>
      <c r="M31" s="61"/>
      <c r="N31" s="67"/>
      <c r="O31" s="68">
        <f t="shared" ca="1" si="3"/>
        <v>43637.789408564815</v>
      </c>
      <c r="P31" s="69">
        <f t="shared" ca="1" si="4"/>
        <v>-86.789408564814948</v>
      </c>
      <c r="Q31" s="58" t="e">
        <f t="shared" ca="1" si="5"/>
        <v>#NAME?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spans="1:33" ht="13.8">
      <c r="A32" s="431"/>
      <c r="B32" s="139"/>
      <c r="C32" s="60"/>
      <c r="D32" s="61"/>
      <c r="E32" s="80"/>
      <c r="F32" s="61"/>
      <c r="G32" s="152"/>
      <c r="H32" s="63"/>
      <c r="I32" s="63"/>
      <c r="J32" s="65"/>
      <c r="K32" s="71"/>
      <c r="L32" s="54"/>
      <c r="M32" s="65"/>
      <c r="N32" s="67"/>
      <c r="O32" s="68">
        <f t="shared" ca="1" si="3"/>
        <v>43637.789408564815</v>
      </c>
      <c r="P32" s="69">
        <f t="shared" ca="1" si="4"/>
        <v>-86.789408564814948</v>
      </c>
      <c r="Q32" s="58" t="e">
        <f t="shared" ca="1" si="5"/>
        <v>#NAME?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spans="1:33" ht="13.8">
      <c r="A33" s="431"/>
      <c r="B33" s="153"/>
      <c r="C33" s="60"/>
      <c r="D33" s="61"/>
      <c r="E33" s="80"/>
      <c r="F33" s="61"/>
      <c r="G33" s="152"/>
      <c r="H33" s="63"/>
      <c r="I33" s="63"/>
      <c r="J33" s="65"/>
      <c r="K33" s="71"/>
      <c r="L33" s="54"/>
      <c r="M33" s="65"/>
      <c r="N33" s="154"/>
      <c r="O33" s="68">
        <f t="shared" ca="1" si="3"/>
        <v>43637.789408564815</v>
      </c>
      <c r="P33" s="69">
        <f t="shared" ca="1" si="4"/>
        <v>-86.789408564814948</v>
      </c>
      <c r="Q33" s="58" t="e">
        <f t="shared" ca="1" si="5"/>
        <v>#NAME?</v>
      </c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</row>
    <row r="34" spans="1:33" ht="13.8">
      <c r="A34" s="431"/>
      <c r="B34" s="82"/>
      <c r="C34" s="60"/>
      <c r="D34" s="61"/>
      <c r="E34" s="80"/>
      <c r="F34" s="61"/>
      <c r="G34" s="63"/>
      <c r="H34" s="63"/>
      <c r="I34" s="63"/>
      <c r="J34" s="71"/>
      <c r="K34" s="71"/>
      <c r="L34" s="54"/>
      <c r="M34" s="65"/>
      <c r="N34" s="62"/>
      <c r="O34" s="68">
        <f t="shared" ca="1" si="3"/>
        <v>43637.789408564815</v>
      </c>
      <c r="P34" s="69">
        <f t="shared" ca="1" si="4"/>
        <v>-86.789408564814948</v>
      </c>
      <c r="Q34" s="58" t="e">
        <f t="shared" ca="1" si="5"/>
        <v>#NAME?</v>
      </c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</row>
    <row r="35" spans="1:33" ht="13.8">
      <c r="A35" s="431"/>
      <c r="B35" s="82"/>
      <c r="C35" s="82"/>
      <c r="D35" s="65"/>
      <c r="E35" s="80"/>
      <c r="F35" s="61"/>
      <c r="G35" s="64"/>
      <c r="H35" s="64"/>
      <c r="I35" s="63"/>
      <c r="J35" s="65"/>
      <c r="K35" s="65"/>
      <c r="L35" s="54"/>
      <c r="M35" s="65"/>
      <c r="N35" s="156"/>
      <c r="O35" s="68"/>
      <c r="P35" s="69"/>
      <c r="Q35" s="58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spans="1:33" ht="13.8">
      <c r="A36" s="431"/>
      <c r="B36" s="82"/>
      <c r="C36" s="60"/>
      <c r="D36" s="61"/>
      <c r="E36" s="80"/>
      <c r="F36" s="61"/>
      <c r="G36" s="63"/>
      <c r="H36" s="64"/>
      <c r="I36" s="63"/>
      <c r="J36" s="71"/>
      <c r="K36" s="71"/>
      <c r="L36" s="54"/>
      <c r="M36" s="65"/>
      <c r="N36" s="67"/>
      <c r="O36" s="68">
        <f t="shared" ref="O36:O41" ca="1" si="6">IF(OR(L36 = "Livré",L36 = "Commandé",L36="Devis accepté", L36 ="BDL reçu"),"Ok",(NOW()-K36))</f>
        <v>43637.789408564815</v>
      </c>
      <c r="P36" s="69">
        <f t="shared" ref="P36:P41" ca="1" si="7">IF(OR(L36="Livré",L36="Commandé",L36="BDL reçu"),"Ok",IF(J36="",$P$1-NOW()-7*$J$76,$P$1-NOW()-J36*7))</f>
        <v>-86.789408564814948</v>
      </c>
      <c r="Q36" s="58" t="e">
        <f t="shared" ref="Q36:Q41" ca="1" si="8">IF(NOT(OR(L36 = "Livré",L36 = "BDL reçu")),_xludf.days(NOW(),K36),"ok")</f>
        <v>#NAME?</v>
      </c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spans="1:33" ht="13.8">
      <c r="A37" s="431"/>
      <c r="B37" s="82"/>
      <c r="C37" s="60"/>
      <c r="D37" s="61"/>
      <c r="E37" s="80"/>
      <c r="F37" s="61"/>
      <c r="G37" s="63"/>
      <c r="H37" s="63"/>
      <c r="I37" s="63"/>
      <c r="J37" s="65"/>
      <c r="K37" s="71"/>
      <c r="L37" s="54"/>
      <c r="M37" s="61"/>
      <c r="N37" s="67"/>
      <c r="O37" s="68">
        <f t="shared" ca="1" si="6"/>
        <v>43637.789408564815</v>
      </c>
      <c r="P37" s="69">
        <f t="shared" ca="1" si="7"/>
        <v>-86.789408564814948</v>
      </c>
      <c r="Q37" s="58" t="e">
        <f t="shared" ca="1" si="8"/>
        <v>#NAME?</v>
      </c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spans="1:33" ht="13.8">
      <c r="A38" s="431"/>
      <c r="B38" s="82"/>
      <c r="C38" s="60"/>
      <c r="D38" s="65"/>
      <c r="E38" s="80"/>
      <c r="F38" s="61"/>
      <c r="G38" s="64"/>
      <c r="H38" s="63"/>
      <c r="I38" s="63"/>
      <c r="J38" s="65"/>
      <c r="K38" s="65"/>
      <c r="L38" s="54"/>
      <c r="M38" s="65"/>
      <c r="N38" s="61"/>
      <c r="O38" s="68">
        <f t="shared" ca="1" si="6"/>
        <v>43637.789408564815</v>
      </c>
      <c r="P38" s="69">
        <f t="shared" ca="1" si="7"/>
        <v>-86.789408564814948</v>
      </c>
      <c r="Q38" s="58" t="e">
        <f t="shared" ca="1" si="8"/>
        <v>#NAME?</v>
      </c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spans="1:33" ht="13.8">
      <c r="A39" s="431"/>
      <c r="B39" s="82"/>
      <c r="C39" s="82"/>
      <c r="D39" s="61"/>
      <c r="E39" s="80"/>
      <c r="F39" s="61"/>
      <c r="G39" s="64"/>
      <c r="H39" s="63"/>
      <c r="I39" s="63"/>
      <c r="J39" s="65"/>
      <c r="K39" s="65"/>
      <c r="L39" s="54"/>
      <c r="M39" s="65"/>
      <c r="N39" s="62"/>
      <c r="O39" s="68">
        <f t="shared" ca="1" si="6"/>
        <v>43637.789408564815</v>
      </c>
      <c r="P39" s="69">
        <f t="shared" ca="1" si="7"/>
        <v>-86.789408564814948</v>
      </c>
      <c r="Q39" s="58" t="e">
        <f t="shared" ca="1" si="8"/>
        <v>#NAME?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 ht="13.8">
      <c r="A40" s="431"/>
      <c r="B40" s="82"/>
      <c r="C40" s="60"/>
      <c r="D40" s="61"/>
      <c r="E40" s="80"/>
      <c r="F40" s="61"/>
      <c r="G40" s="64"/>
      <c r="H40" s="63"/>
      <c r="I40" s="63"/>
      <c r="J40" s="65"/>
      <c r="K40" s="71"/>
      <c r="L40" s="54"/>
      <c r="M40" s="65"/>
      <c r="N40" s="62"/>
      <c r="O40" s="68">
        <f t="shared" ca="1" si="6"/>
        <v>43637.789408564815</v>
      </c>
      <c r="P40" s="69">
        <f t="shared" ca="1" si="7"/>
        <v>-86.789408564814948</v>
      </c>
      <c r="Q40" s="58" t="e">
        <f t="shared" ca="1" si="8"/>
        <v>#NAME?</v>
      </c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ht="13.8">
      <c r="A41" s="431"/>
      <c r="B41" s="110"/>
      <c r="C41" s="111"/>
      <c r="D41" s="112"/>
      <c r="E41" s="70"/>
      <c r="F41" s="112"/>
      <c r="G41" s="114"/>
      <c r="H41" s="115"/>
      <c r="I41" s="115"/>
      <c r="J41" s="65"/>
      <c r="K41" s="116"/>
      <c r="L41" s="54"/>
      <c r="M41" s="118"/>
      <c r="N41" s="157"/>
      <c r="O41" s="68">
        <f t="shared" ca="1" si="6"/>
        <v>43637.789408564815</v>
      </c>
      <c r="P41" s="69">
        <f t="shared" ca="1" si="7"/>
        <v>-86.789408564814948</v>
      </c>
      <c r="Q41" s="58" t="e">
        <f t="shared" ca="1" si="8"/>
        <v>#NAME?</v>
      </c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1:33" ht="13.8">
      <c r="A42" s="431"/>
      <c r="B42" s="158"/>
      <c r="C42" s="159"/>
      <c r="D42" s="160"/>
      <c r="E42" s="120"/>
      <c r="F42" s="160"/>
      <c r="G42" s="161"/>
      <c r="H42" s="161"/>
      <c r="I42" s="161"/>
      <c r="J42" s="95"/>
      <c r="K42" s="162"/>
      <c r="L42" s="54"/>
      <c r="M42" s="164"/>
      <c r="N42" s="165"/>
      <c r="O42" s="166"/>
      <c r="P42" s="167"/>
      <c r="Q42" s="168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 ht="13.8">
      <c r="A43" s="432"/>
      <c r="B43" s="169"/>
      <c r="C43" s="170"/>
      <c r="D43" s="171"/>
      <c r="E43" s="124"/>
      <c r="F43" s="171"/>
      <c r="G43" s="172"/>
      <c r="H43" s="172"/>
      <c r="I43" s="172"/>
      <c r="J43" s="106"/>
      <c r="K43" s="173"/>
      <c r="L43" s="54"/>
      <c r="M43" s="175"/>
      <c r="N43" s="176"/>
      <c r="O43" s="177"/>
      <c r="P43" s="178"/>
      <c r="Q43" s="179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 ht="13.8">
      <c r="A44" s="433" t="s">
        <v>319</v>
      </c>
      <c r="B44" s="180"/>
      <c r="C44" s="134"/>
      <c r="D44" s="141"/>
      <c r="E44" s="181"/>
      <c r="F44" s="141"/>
      <c r="G44" s="182"/>
      <c r="H44" s="183"/>
      <c r="I44" s="182"/>
      <c r="J44" s="141"/>
      <c r="K44" s="145"/>
      <c r="L44" s="54"/>
      <c r="M44" s="144"/>
      <c r="N44" s="184"/>
      <c r="O44" s="56">
        <f t="shared" ref="O44:O58" ca="1" si="9">IF(OR(L44 = "Livré",L44 = "Commandé",L44="Devis accepté", L44 ="BDL reçu"),"Ok",(NOW()-K44))</f>
        <v>43637.789408564815</v>
      </c>
      <c r="P44" s="57">
        <f t="shared" ref="P44:P58" ca="1" si="10">IF(OR(L44="Livré",L44="Commandé",L44="BDL reçu"),"Ok",IF(J44="",$P$1-NOW()-7*$J$76,$P$1-NOW()-J44*7))</f>
        <v>-86.789408564814948</v>
      </c>
      <c r="Q44" s="58" t="e">
        <f t="shared" ref="Q44:Q58" ca="1" si="11">IF(NOT(OR(L44 = "Livré",L44 = "BDL reçu")),_xludf.days(NOW(),K44),"ok")</f>
        <v>#NAME?</v>
      </c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 ht="13.8">
      <c r="A45" s="434"/>
      <c r="B45" s="180"/>
      <c r="C45" s="128"/>
      <c r="D45" s="141"/>
      <c r="E45" s="80"/>
      <c r="F45" s="74"/>
      <c r="G45" s="182"/>
      <c r="H45" s="182"/>
      <c r="I45" s="182"/>
      <c r="J45" s="74"/>
      <c r="K45" s="141"/>
      <c r="L45" s="54"/>
      <c r="M45" s="144"/>
      <c r="N45" s="86"/>
      <c r="O45" s="68">
        <f t="shared" ca="1" si="9"/>
        <v>43637.789408564815</v>
      </c>
      <c r="P45" s="69">
        <f t="shared" ca="1" si="10"/>
        <v>-86.789408564814948</v>
      </c>
      <c r="Q45" s="58" t="e">
        <f t="shared" ca="1" si="11"/>
        <v>#NAME?</v>
      </c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 ht="13.8">
      <c r="A46" s="434"/>
      <c r="B46" s="185"/>
      <c r="C46" s="73"/>
      <c r="D46" s="74"/>
      <c r="E46" s="80"/>
      <c r="F46" s="74"/>
      <c r="G46" s="186"/>
      <c r="H46" s="187"/>
      <c r="I46" s="186"/>
      <c r="J46" s="77"/>
      <c r="K46" s="78"/>
      <c r="L46" s="54"/>
      <c r="M46" s="77"/>
      <c r="N46" s="188"/>
      <c r="O46" s="68">
        <f t="shared" ca="1" si="9"/>
        <v>43637.789408564815</v>
      </c>
      <c r="P46" s="69">
        <f t="shared" ca="1" si="10"/>
        <v>-86.789408564814948</v>
      </c>
      <c r="Q46" s="58" t="e">
        <f t="shared" ca="1" si="11"/>
        <v>#NAME?</v>
      </c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</row>
    <row r="47" spans="1:33" ht="13.8">
      <c r="A47" s="434"/>
      <c r="B47" s="189"/>
      <c r="C47" s="190"/>
      <c r="D47" s="61"/>
      <c r="E47" s="80"/>
      <c r="F47" s="61"/>
      <c r="G47" s="186"/>
      <c r="H47" s="191"/>
      <c r="I47" s="148"/>
      <c r="J47" s="65"/>
      <c r="K47" s="151"/>
      <c r="L47" s="54"/>
      <c r="N47" s="61"/>
      <c r="O47" s="68">
        <f t="shared" ca="1" si="9"/>
        <v>43637.789408564815</v>
      </c>
      <c r="P47" s="69">
        <f t="shared" ca="1" si="10"/>
        <v>-86.789408564814948</v>
      </c>
      <c r="Q47" s="58" t="e">
        <f t="shared" ca="1" si="11"/>
        <v>#NAME?</v>
      </c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spans="1:33" ht="13.8">
      <c r="A48" s="434"/>
      <c r="B48" s="192"/>
      <c r="C48" s="82"/>
      <c r="D48" s="61"/>
      <c r="E48" s="80"/>
      <c r="F48" s="61"/>
      <c r="G48" s="148"/>
      <c r="H48" s="193"/>
      <c r="I48" s="193"/>
      <c r="J48" s="65"/>
      <c r="K48" s="65"/>
      <c r="L48" s="54"/>
      <c r="M48" s="65"/>
      <c r="N48" s="67"/>
      <c r="O48" s="68">
        <f t="shared" ca="1" si="9"/>
        <v>43637.789408564815</v>
      </c>
      <c r="P48" s="69">
        <f t="shared" ca="1" si="10"/>
        <v>-86.789408564814948</v>
      </c>
      <c r="Q48" s="58" t="e">
        <f t="shared" ca="1" si="11"/>
        <v>#NAME?</v>
      </c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</row>
    <row r="49" spans="1:33" ht="13.8">
      <c r="A49" s="434"/>
      <c r="B49" s="185"/>
      <c r="C49" s="73"/>
      <c r="D49" s="74"/>
      <c r="E49" s="80"/>
      <c r="F49" s="61"/>
      <c r="G49" s="186"/>
      <c r="H49" s="187"/>
      <c r="I49" s="186"/>
      <c r="J49" s="74"/>
      <c r="K49" s="78"/>
      <c r="L49" s="54"/>
      <c r="M49" s="74"/>
      <c r="N49" s="186"/>
      <c r="O49" s="68">
        <f t="shared" ca="1" si="9"/>
        <v>43637.789408564815</v>
      </c>
      <c r="P49" s="69">
        <f t="shared" ca="1" si="10"/>
        <v>-86.789408564814948</v>
      </c>
      <c r="Q49" s="58" t="e">
        <f t="shared" ca="1" si="11"/>
        <v>#NAME?</v>
      </c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</row>
    <row r="50" spans="1:33" ht="13.8">
      <c r="A50" s="434"/>
      <c r="B50" s="185"/>
      <c r="C50" s="73"/>
      <c r="D50" s="74"/>
      <c r="E50" s="80"/>
      <c r="F50" s="74"/>
      <c r="G50" s="186"/>
      <c r="H50" s="187"/>
      <c r="I50" s="186"/>
      <c r="J50" s="74"/>
      <c r="K50" s="74"/>
      <c r="L50" s="54"/>
      <c r="M50" s="74"/>
      <c r="N50" s="194"/>
      <c r="O50" s="68">
        <f t="shared" ca="1" si="9"/>
        <v>43637.789408564815</v>
      </c>
      <c r="P50" s="69">
        <f t="shared" ca="1" si="10"/>
        <v>-86.789408564814948</v>
      </c>
      <c r="Q50" s="58" t="e">
        <f t="shared" ca="1" si="11"/>
        <v>#NAME?</v>
      </c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</row>
    <row r="51" spans="1:33" ht="13.8">
      <c r="A51" s="434"/>
      <c r="B51" s="185"/>
      <c r="C51" s="73"/>
      <c r="D51" s="74"/>
      <c r="E51" s="80"/>
      <c r="F51" s="74"/>
      <c r="G51" s="186"/>
      <c r="H51" s="187"/>
      <c r="I51" s="186"/>
      <c r="J51" s="74"/>
      <c r="K51" s="74"/>
      <c r="L51" s="54"/>
      <c r="M51" s="74"/>
      <c r="N51" s="86"/>
      <c r="O51" s="68">
        <f t="shared" ca="1" si="9"/>
        <v>43637.789408564815</v>
      </c>
      <c r="P51" s="69">
        <f t="shared" ca="1" si="10"/>
        <v>-86.789408564814948</v>
      </c>
      <c r="Q51" s="58" t="e">
        <f t="shared" ca="1" si="11"/>
        <v>#NAME?</v>
      </c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</row>
    <row r="52" spans="1:33" ht="13.8">
      <c r="A52" s="434"/>
      <c r="B52" s="185"/>
      <c r="C52" s="73"/>
      <c r="D52" s="74"/>
      <c r="E52" s="80"/>
      <c r="F52" s="74"/>
      <c r="G52" s="186"/>
      <c r="H52" s="187"/>
      <c r="I52" s="186"/>
      <c r="J52" s="74"/>
      <c r="K52" s="74"/>
      <c r="L52" s="54"/>
      <c r="M52" s="74"/>
      <c r="N52" s="194"/>
      <c r="O52" s="68">
        <f t="shared" ca="1" si="9"/>
        <v>43637.789408564815</v>
      </c>
      <c r="P52" s="69">
        <f t="shared" ca="1" si="10"/>
        <v>-86.789408564814948</v>
      </c>
      <c r="Q52" s="58" t="e">
        <f t="shared" ca="1" si="11"/>
        <v>#NAME?</v>
      </c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 ht="13.8">
      <c r="A53" s="434"/>
      <c r="B53" s="185"/>
      <c r="C53" s="195"/>
      <c r="D53" s="196"/>
      <c r="E53" s="197"/>
      <c r="F53" s="196"/>
      <c r="G53" s="198"/>
      <c r="H53" s="199"/>
      <c r="I53" s="198"/>
      <c r="J53" s="200"/>
      <c r="K53" s="201"/>
      <c r="L53" s="54"/>
      <c r="M53" s="200"/>
      <c r="O53" s="68">
        <f t="shared" ca="1" si="9"/>
        <v>43637.789408564815</v>
      </c>
      <c r="P53" s="69">
        <f t="shared" ca="1" si="10"/>
        <v>-86.789408564814948</v>
      </c>
      <c r="Q53" s="58" t="e">
        <f t="shared" ca="1" si="11"/>
        <v>#NAME?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</row>
    <row r="54" spans="1:33" ht="13.8">
      <c r="A54" s="434"/>
      <c r="B54" s="203"/>
      <c r="C54" s="245"/>
      <c r="D54" s="61"/>
      <c r="E54" s="70"/>
      <c r="F54" s="61"/>
      <c r="G54" s="193"/>
      <c r="H54" s="193"/>
      <c r="I54" s="193"/>
      <c r="J54" s="65"/>
      <c r="K54" s="65"/>
      <c r="L54" s="54"/>
      <c r="M54" s="61"/>
      <c r="N54" s="205"/>
      <c r="O54" s="68">
        <f t="shared" ca="1" si="9"/>
        <v>43637.789408564815</v>
      </c>
      <c r="P54" s="69">
        <f t="shared" ca="1" si="10"/>
        <v>-86.789408564814948</v>
      </c>
      <c r="Q54" s="58" t="e">
        <f t="shared" ca="1" si="11"/>
        <v>#NAME?</v>
      </c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</row>
    <row r="55" spans="1:33" ht="13.8">
      <c r="A55" s="434"/>
      <c r="B55" s="203"/>
      <c r="C55" s="245"/>
      <c r="D55" s="61"/>
      <c r="E55" s="70"/>
      <c r="F55" s="61"/>
      <c r="G55" s="193"/>
      <c r="H55" s="193"/>
      <c r="I55" s="193"/>
      <c r="J55" s="65"/>
      <c r="K55" s="65"/>
      <c r="L55" s="54"/>
      <c r="M55" s="61"/>
      <c r="N55" s="140"/>
      <c r="O55" s="68">
        <f t="shared" ca="1" si="9"/>
        <v>43637.789408564815</v>
      </c>
      <c r="P55" s="69">
        <f t="shared" ca="1" si="10"/>
        <v>-86.789408564814948</v>
      </c>
      <c r="Q55" s="58" t="e">
        <f t="shared" ca="1" si="11"/>
        <v>#NAME?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</row>
    <row r="56" spans="1:33" ht="13.8">
      <c r="A56" s="434"/>
      <c r="B56" s="82"/>
      <c r="C56" s="82"/>
      <c r="D56" s="61"/>
      <c r="E56" s="70"/>
      <c r="F56" s="61"/>
      <c r="G56" s="193"/>
      <c r="H56" s="193"/>
      <c r="I56" s="193"/>
      <c r="J56" s="65"/>
      <c r="K56" s="65"/>
      <c r="L56" s="54"/>
      <c r="M56" s="61"/>
      <c r="N56" s="140"/>
      <c r="O56" s="68">
        <f t="shared" ca="1" si="9"/>
        <v>43637.789408564815</v>
      </c>
      <c r="P56" s="69">
        <f t="shared" ca="1" si="10"/>
        <v>-86.789408564814948</v>
      </c>
      <c r="Q56" s="58" t="e">
        <f t="shared" ca="1" si="11"/>
        <v>#NAME?</v>
      </c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</row>
    <row r="57" spans="1:33" ht="13.8">
      <c r="A57" s="435"/>
      <c r="B57" s="206"/>
      <c r="C57" s="207"/>
      <c r="D57" s="208"/>
      <c r="E57" s="209"/>
      <c r="F57" s="208"/>
      <c r="G57" s="210"/>
      <c r="H57" s="211"/>
      <c r="I57" s="210"/>
      <c r="J57" s="208"/>
      <c r="K57" s="212"/>
      <c r="L57" s="54"/>
      <c r="M57" s="213"/>
      <c r="N57" s="214"/>
      <c r="O57" s="177">
        <f t="shared" ca="1" si="9"/>
        <v>43637.789408564815</v>
      </c>
      <c r="P57" s="178">
        <f t="shared" ca="1" si="10"/>
        <v>-86.789408564814948</v>
      </c>
      <c r="Q57" s="179" t="e">
        <f t="shared" ca="1" si="11"/>
        <v>#NAME?</v>
      </c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</row>
    <row r="58" spans="1:33" ht="13.8">
      <c r="A58" s="443" t="s">
        <v>358</v>
      </c>
      <c r="B58" s="215"/>
      <c r="C58" s="128"/>
      <c r="D58" s="141"/>
      <c r="E58" s="181"/>
      <c r="F58" s="141"/>
      <c r="G58" s="142"/>
      <c r="H58" s="142"/>
      <c r="I58" s="143"/>
      <c r="J58" s="141"/>
      <c r="K58" s="141"/>
      <c r="L58" s="54"/>
      <c r="M58" s="144"/>
      <c r="N58" s="55"/>
      <c r="O58" s="56">
        <f t="shared" ca="1" si="9"/>
        <v>43637.789408564815</v>
      </c>
      <c r="P58" s="57">
        <f t="shared" ca="1" si="10"/>
        <v>-86.789408564814948</v>
      </c>
      <c r="Q58" s="58" t="e">
        <f t="shared" ca="1" si="11"/>
        <v>#NAME?</v>
      </c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</row>
    <row r="59" spans="1:33" ht="13.8">
      <c r="A59" s="431"/>
      <c r="B59" s="134"/>
      <c r="C59" s="134"/>
      <c r="D59" s="141"/>
      <c r="E59" s="113"/>
      <c r="F59" s="112"/>
      <c r="G59" s="142"/>
      <c r="H59" s="142"/>
      <c r="I59" s="143"/>
      <c r="J59" s="144"/>
      <c r="K59" s="144"/>
      <c r="L59" s="54"/>
      <c r="M59" s="144"/>
      <c r="N59" s="216"/>
      <c r="O59" s="68"/>
      <c r="P59" s="69"/>
      <c r="Q59" s="58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</row>
    <row r="60" spans="1:33" ht="13.8">
      <c r="A60" s="431"/>
      <c r="B60" s="72"/>
      <c r="C60" s="73"/>
      <c r="D60" s="77"/>
      <c r="E60" s="70"/>
      <c r="F60" s="61"/>
      <c r="G60" s="217"/>
      <c r="H60" s="75"/>
      <c r="I60" s="218"/>
      <c r="J60" s="77"/>
      <c r="K60" s="78"/>
      <c r="L60" s="54"/>
      <c r="M60" s="77"/>
      <c r="N60" s="140"/>
      <c r="O60" s="68">
        <f t="shared" ref="O60:O62" ca="1" si="12">IF(OR(L60 = "Livré",L60 = "Commandé",L60="Devis accepté", L60 ="BDL reçu"),"Ok",(NOW()-K60))</f>
        <v>43637.789408564815</v>
      </c>
      <c r="P60" s="69">
        <f t="shared" ref="P60:P62" ca="1" si="13">IF(OR(L60="Livré",L60="Commandé",L60="BDL reçu"),"Ok",IF(J60="",$P$1-NOW()-7*$J$76,$P$1-NOW()-J60*7))</f>
        <v>-86.789408564814948</v>
      </c>
      <c r="Q60" s="58" t="e">
        <f t="shared" ref="Q60:Q62" ca="1" si="14">IF(NOT(OR(L60 = "Livré",L60 = "BDL reçu")),_xludf.days(NOW(),K60),"ok")</f>
        <v>#NAME?</v>
      </c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</row>
    <row r="61" spans="1:33" ht="17.25" customHeight="1">
      <c r="A61" s="431"/>
      <c r="B61" s="82"/>
      <c r="C61" s="60"/>
      <c r="D61" s="65"/>
      <c r="E61" s="70"/>
      <c r="F61" s="61"/>
      <c r="G61" s="63"/>
      <c r="H61" s="64"/>
      <c r="I61" s="63"/>
      <c r="J61" s="65"/>
      <c r="K61" s="65"/>
      <c r="L61" s="54"/>
      <c r="M61" s="65"/>
      <c r="N61" s="140"/>
      <c r="O61" s="68">
        <f t="shared" ca="1" si="12"/>
        <v>43637.789408564815</v>
      </c>
      <c r="P61" s="69">
        <f t="shared" ca="1" si="13"/>
        <v>-86.789408564814948</v>
      </c>
      <c r="Q61" s="58" t="e">
        <f t="shared" ca="1" si="14"/>
        <v>#NAME?</v>
      </c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</row>
    <row r="62" spans="1:33" ht="17.25" customHeight="1">
      <c r="A62" s="431"/>
      <c r="B62" s="82"/>
      <c r="C62" s="60"/>
      <c r="D62" s="65"/>
      <c r="E62" s="70"/>
      <c r="F62" s="61"/>
      <c r="G62" s="63"/>
      <c r="H62" s="64"/>
      <c r="I62" s="220"/>
      <c r="J62" s="65"/>
      <c r="K62" s="65"/>
      <c r="L62" s="54"/>
      <c r="M62" s="65"/>
      <c r="N62" s="140"/>
      <c r="O62" s="68">
        <f t="shared" ca="1" si="12"/>
        <v>43637.789408564815</v>
      </c>
      <c r="P62" s="69">
        <f t="shared" ca="1" si="13"/>
        <v>-86.789408564814948</v>
      </c>
      <c r="Q62" s="58" t="e">
        <f t="shared" ca="1" si="14"/>
        <v>#NAME?</v>
      </c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</row>
    <row r="63" spans="1:33" ht="17.25" customHeight="1">
      <c r="A63" s="431"/>
      <c r="B63" s="82"/>
      <c r="C63" s="82"/>
      <c r="D63" s="65"/>
      <c r="E63" s="70"/>
      <c r="F63" s="61"/>
      <c r="G63" s="63"/>
      <c r="H63" s="220"/>
      <c r="I63" s="63"/>
      <c r="J63" s="65"/>
      <c r="K63" s="65"/>
      <c r="L63" s="54"/>
      <c r="M63" s="65"/>
      <c r="N63" s="62"/>
      <c r="O63" s="68"/>
      <c r="P63" s="69"/>
      <c r="Q63" s="58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</row>
    <row r="64" spans="1:33" ht="17.25" customHeight="1">
      <c r="A64" s="431"/>
      <c r="B64" s="82"/>
      <c r="C64" s="60"/>
      <c r="D64" s="65"/>
      <c r="E64" s="70"/>
      <c r="F64" s="61"/>
      <c r="G64" s="63"/>
      <c r="H64" s="220"/>
      <c r="I64" s="221"/>
      <c r="J64" s="61"/>
      <c r="K64" s="65"/>
      <c r="L64" s="54"/>
      <c r="M64" s="65"/>
      <c r="N64" s="62"/>
      <c r="O64" s="68">
        <f ca="1">IF(OR(L64 = "Livré",L64 = "Commandé",L64="Devis accepté", L64 ="BDL reçu"),"Ok",(NOW()-K64))</f>
        <v>43637.789408564815</v>
      </c>
      <c r="P64" s="69">
        <f ca="1">IF(OR(L64="Livré",L64="Commandé",L64="BDL reçu"),"Ok",IF(J64="",$P$1-NOW()-7*$J$76,$P$1-NOW()-J64*7))</f>
        <v>-86.789408564814948</v>
      </c>
      <c r="Q64" s="58" t="e">
        <f ca="1">IF(NOT(OR(L64 = "Livré",L64 = "BDL reçu")),_xludf.days(NOW(),K64),"ok")</f>
        <v>#NAME?</v>
      </c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</row>
    <row r="65" spans="1:33" ht="17.25" customHeight="1">
      <c r="A65" s="431"/>
      <c r="B65" s="82"/>
      <c r="C65" s="82"/>
      <c r="D65" s="222"/>
      <c r="E65" s="70"/>
      <c r="F65" s="61"/>
      <c r="G65" s="63"/>
      <c r="H65" s="220"/>
      <c r="I65" s="63"/>
      <c r="J65" s="65"/>
      <c r="K65" s="65"/>
      <c r="L65" s="54"/>
      <c r="M65" s="65"/>
      <c r="N65" s="62"/>
      <c r="O65" s="68"/>
      <c r="P65" s="69"/>
      <c r="Q65" s="58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</row>
    <row r="66" spans="1:33" ht="17.25" customHeight="1">
      <c r="A66" s="431"/>
      <c r="B66" s="82"/>
      <c r="C66" s="60"/>
      <c r="D66" s="65"/>
      <c r="E66" s="70"/>
      <c r="F66" s="61"/>
      <c r="G66" s="64"/>
      <c r="H66" s="64"/>
      <c r="I66" s="63"/>
      <c r="J66" s="65"/>
      <c r="K66" s="71"/>
      <c r="L66" s="54"/>
      <c r="M66" s="65"/>
      <c r="N66" s="224"/>
      <c r="O66" s="68">
        <f t="shared" ref="O66:O73" ca="1" si="15">IF(OR(L66 = "Livré",L66 = "Commandé",L66="Devis accepté", L66 ="BDL reçu"),"Ok",(NOW()-K66))</f>
        <v>43637.789408564815</v>
      </c>
      <c r="P66" s="69">
        <f t="shared" ref="P66:P73" ca="1" si="16">IF(OR(L66="Livré",L66="Commandé",L66="BDL reçu"),"Ok",IF(J66="",$P$1-NOW()-7*$J$76,$P$1-NOW()-J66*7))</f>
        <v>-86.789408564814948</v>
      </c>
      <c r="Q66" s="58" t="e">
        <f t="shared" ref="Q66:Q73" ca="1" si="17">IF(NOT(OR(L66 = "Livré",L66 = "BDL reçu")),_xludf.days(NOW(),K66),"ok")</f>
        <v>#NAME?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</row>
    <row r="67" spans="1:33" ht="17.25" customHeight="1">
      <c r="A67" s="431"/>
      <c r="B67" s="82"/>
      <c r="C67" s="82"/>
      <c r="D67" s="65"/>
      <c r="E67" s="70"/>
      <c r="F67" s="61"/>
      <c r="G67" s="64"/>
      <c r="H67" s="64"/>
      <c r="I67" s="64"/>
      <c r="J67" s="65"/>
      <c r="K67" s="65"/>
      <c r="L67" s="54"/>
      <c r="M67" s="65"/>
      <c r="N67" s="224"/>
      <c r="O67" s="68">
        <f t="shared" ca="1" si="15"/>
        <v>43637.789408564815</v>
      </c>
      <c r="P67" s="69">
        <f t="shared" ca="1" si="16"/>
        <v>-86.789408564814948</v>
      </c>
      <c r="Q67" s="58" t="e">
        <f t="shared" ca="1" si="17"/>
        <v>#NAME?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</row>
    <row r="68" spans="1:33" ht="17.25" customHeight="1">
      <c r="A68" s="431"/>
      <c r="B68" s="90"/>
      <c r="C68" s="91"/>
      <c r="D68" s="95"/>
      <c r="E68" s="120"/>
      <c r="F68" s="98"/>
      <c r="G68" s="94"/>
      <c r="H68" s="94"/>
      <c r="I68" s="94"/>
      <c r="J68" s="98"/>
      <c r="K68" s="96"/>
      <c r="L68" s="54"/>
      <c r="M68" s="95"/>
      <c r="N68" s="228"/>
      <c r="O68" s="68">
        <f t="shared" ca="1" si="15"/>
        <v>43637.789408564815</v>
      </c>
      <c r="P68" s="69">
        <f t="shared" ca="1" si="16"/>
        <v>-86.789408564814948</v>
      </c>
      <c r="Q68" s="58" t="e">
        <f t="shared" ca="1" si="17"/>
        <v>#NAME?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</row>
    <row r="69" spans="1:33" ht="17.25" customHeight="1">
      <c r="A69" s="431"/>
      <c r="B69" s="90"/>
      <c r="C69" s="90"/>
      <c r="D69" s="95"/>
      <c r="E69" s="120"/>
      <c r="F69" s="98"/>
      <c r="G69" s="94"/>
      <c r="H69" s="94"/>
      <c r="I69" s="94"/>
      <c r="J69" s="95"/>
      <c r="K69" s="96"/>
      <c r="L69" s="54"/>
      <c r="M69" s="95"/>
      <c r="N69" s="228"/>
      <c r="O69" s="68">
        <f t="shared" ca="1" si="15"/>
        <v>43637.789408564815</v>
      </c>
      <c r="P69" s="69">
        <f t="shared" ca="1" si="16"/>
        <v>-86.789408564814948</v>
      </c>
      <c r="Q69" s="58" t="e">
        <f t="shared" ca="1" si="17"/>
        <v>#NAME?</v>
      </c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</row>
    <row r="70" spans="1:33" ht="17.25" customHeight="1">
      <c r="A70" s="431"/>
      <c r="B70" s="90"/>
      <c r="C70" s="91"/>
      <c r="D70" s="98"/>
      <c r="E70" s="120"/>
      <c r="F70" s="98"/>
      <c r="G70" s="229"/>
      <c r="H70" s="93"/>
      <c r="I70" s="93"/>
      <c r="J70" s="98"/>
      <c r="K70" s="96"/>
      <c r="L70" s="54"/>
      <c r="M70" s="95"/>
      <c r="N70" s="93"/>
      <c r="O70" s="68">
        <f t="shared" ca="1" si="15"/>
        <v>43637.789408564815</v>
      </c>
      <c r="P70" s="69">
        <f t="shared" ca="1" si="16"/>
        <v>-86.789408564814948</v>
      </c>
      <c r="Q70" s="58" t="e">
        <f t="shared" ca="1" si="17"/>
        <v>#NAME?</v>
      </c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ht="17.25" customHeight="1">
      <c r="A71" s="431"/>
      <c r="B71" s="90"/>
      <c r="C71" s="90"/>
      <c r="D71" s="98"/>
      <c r="E71" s="120"/>
      <c r="F71" s="98"/>
      <c r="G71" s="229"/>
      <c r="H71" s="94"/>
      <c r="I71" s="93"/>
      <c r="J71" s="95"/>
      <c r="K71" s="95"/>
      <c r="L71" s="54"/>
      <c r="M71" s="95"/>
      <c r="N71" s="231"/>
      <c r="O71" s="68">
        <f t="shared" ca="1" si="15"/>
        <v>43637.789408564815</v>
      </c>
      <c r="P71" s="69">
        <f t="shared" ca="1" si="16"/>
        <v>-86.789408564814948</v>
      </c>
      <c r="Q71" s="58" t="e">
        <f t="shared" ca="1" si="17"/>
        <v>#NAME?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ht="17.25" customHeight="1">
      <c r="A72" s="431"/>
      <c r="B72" s="90"/>
      <c r="C72" s="90"/>
      <c r="D72" s="98"/>
      <c r="E72" s="120"/>
      <c r="F72" s="98"/>
      <c r="G72" s="229"/>
      <c r="H72" s="94"/>
      <c r="I72" s="93"/>
      <c r="J72" s="95"/>
      <c r="K72" s="95"/>
      <c r="L72" s="54"/>
      <c r="M72" s="95"/>
      <c r="N72" s="232"/>
      <c r="O72" s="68">
        <f t="shared" ca="1" si="15"/>
        <v>43637.789408564815</v>
      </c>
      <c r="P72" s="69">
        <f t="shared" ca="1" si="16"/>
        <v>-86.789408564814948</v>
      </c>
      <c r="Q72" s="58" t="e">
        <f t="shared" ca="1" si="17"/>
        <v>#NAME?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7.25" customHeight="1">
      <c r="A73" s="431"/>
      <c r="B73" s="82"/>
      <c r="C73" s="60"/>
      <c r="D73" s="61"/>
      <c r="E73" s="70"/>
      <c r="F73" s="61"/>
      <c r="G73" s="152"/>
      <c r="H73" s="64"/>
      <c r="I73" s="63"/>
      <c r="J73" s="65"/>
      <c r="K73" s="65"/>
      <c r="L73" s="54"/>
      <c r="M73" s="65"/>
      <c r="N73" s="233"/>
      <c r="O73" s="68">
        <f t="shared" ca="1" si="15"/>
        <v>43637.789408564815</v>
      </c>
      <c r="P73" s="167">
        <f t="shared" ca="1" si="16"/>
        <v>-86.789408564814948</v>
      </c>
      <c r="Q73" s="168" t="e">
        <f t="shared" ca="1" si="17"/>
        <v>#NAME?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</row>
    <row r="74" spans="1:33" ht="17.25" customHeight="1">
      <c r="A74" s="431"/>
      <c r="B74" s="65"/>
      <c r="C74" s="65"/>
      <c r="D74" s="61"/>
      <c r="E74" s="70"/>
      <c r="F74" s="61"/>
      <c r="G74" s="152"/>
      <c r="H74" s="220"/>
      <c r="I74" s="63"/>
      <c r="J74" s="65"/>
      <c r="K74" s="65"/>
      <c r="L74" s="54"/>
      <c r="M74" s="65"/>
      <c r="N74" s="62"/>
      <c r="O74" s="234"/>
      <c r="P74" s="69"/>
      <c r="Q74" s="222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spans="1:33" ht="17.25" customHeight="1">
      <c r="A75" s="432"/>
      <c r="B75" s="65"/>
      <c r="C75" s="65"/>
      <c r="D75" s="61"/>
      <c r="E75" s="70"/>
      <c r="F75" s="61"/>
      <c r="G75" s="152"/>
      <c r="H75" s="220"/>
      <c r="I75" s="63"/>
      <c r="J75" s="65"/>
      <c r="K75" s="65"/>
      <c r="L75" s="54"/>
      <c r="M75" s="65"/>
      <c r="N75" s="62"/>
      <c r="O75" s="234"/>
      <c r="P75" s="69"/>
      <c r="Q75" s="222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</row>
    <row r="76" spans="1:33" ht="26.4">
      <c r="A76" s="36"/>
      <c r="B76" s="36"/>
      <c r="C76" s="36"/>
      <c r="D76" s="36"/>
      <c r="E76" s="36"/>
      <c r="F76" s="36"/>
      <c r="G76" s="36"/>
      <c r="H76" s="235" t="s">
        <v>415</v>
      </c>
      <c r="I76" s="236">
        <f>SUM(I3:I75)</f>
        <v>492.71999999999997</v>
      </c>
      <c r="J76" s="237">
        <v>2</v>
      </c>
      <c r="K76" s="237" t="s">
        <v>416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</row>
    <row r="77" spans="1:33" ht="66">
      <c r="A77" s="36"/>
      <c r="B77" s="36"/>
      <c r="C77" s="36"/>
      <c r="F77" s="36"/>
      <c r="G77" s="36"/>
      <c r="H77" s="235" t="s">
        <v>418</v>
      </c>
      <c r="I77" s="236">
        <f>35000-I76</f>
        <v>34507.279999999999</v>
      </c>
      <c r="J77" s="238" t="s">
        <v>419</v>
      </c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</row>
    <row r="78" spans="1:33" ht="13.2">
      <c r="A78" s="239"/>
      <c r="B78" s="36"/>
      <c r="C78" s="36"/>
      <c r="D78" s="437" t="s">
        <v>421</v>
      </c>
      <c r="E78" s="438"/>
      <c r="F78" s="36"/>
      <c r="G78" s="36"/>
      <c r="H78" s="36"/>
      <c r="I78" s="36"/>
      <c r="J78" s="36"/>
      <c r="K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</row>
    <row r="79" spans="1:33" ht="13.2">
      <c r="A79" s="239"/>
      <c r="B79" s="36"/>
      <c r="C79" s="36"/>
      <c r="D79" s="241" t="s">
        <v>413</v>
      </c>
      <c r="E79" s="242">
        <f t="shared" ref="E79:E86" si="18">COUNTIF($L$3:$L$73,D79)</f>
        <v>0</v>
      </c>
      <c r="F79" s="36"/>
      <c r="G79" s="36"/>
      <c r="H79" s="36"/>
      <c r="I79" s="36"/>
      <c r="J79" s="36"/>
      <c r="K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</row>
    <row r="80" spans="1:33" ht="13.2">
      <c r="A80" s="36"/>
      <c r="B80" s="36"/>
      <c r="C80" s="36"/>
      <c r="D80" s="241" t="s">
        <v>422</v>
      </c>
      <c r="E80" s="242">
        <f t="shared" si="18"/>
        <v>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</row>
    <row r="81" spans="1:33" ht="13.2">
      <c r="A81" s="36"/>
      <c r="B81" s="36"/>
      <c r="C81" s="36"/>
      <c r="D81" s="241" t="s">
        <v>423</v>
      </c>
      <c r="E81" s="242">
        <f t="shared" si="18"/>
        <v>0</v>
      </c>
      <c r="F81" s="36"/>
      <c r="G81" s="36"/>
      <c r="H81" s="36"/>
      <c r="I81" s="36"/>
      <c r="J81" s="36"/>
      <c r="K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</row>
    <row r="82" spans="1:33" ht="13.2">
      <c r="A82" s="36"/>
      <c r="B82" s="36"/>
      <c r="C82" s="36"/>
      <c r="D82" s="241" t="s">
        <v>409</v>
      </c>
      <c r="E82" s="242">
        <f t="shared" si="18"/>
        <v>0</v>
      </c>
      <c r="F82" s="36"/>
      <c r="G82" s="36"/>
      <c r="H82" s="36"/>
      <c r="I82" s="36"/>
      <c r="J82" s="36"/>
      <c r="K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spans="1:33" ht="13.2">
      <c r="A83" s="36"/>
      <c r="B83" s="36"/>
      <c r="C83" s="36"/>
      <c r="D83" s="241" t="s">
        <v>424</v>
      </c>
      <c r="E83" s="242">
        <f t="shared" si="18"/>
        <v>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</row>
    <row r="84" spans="1:33" ht="13.2">
      <c r="A84" s="36"/>
      <c r="B84" s="36"/>
      <c r="C84" s="36"/>
      <c r="D84" s="243" t="s">
        <v>318</v>
      </c>
      <c r="E84" s="242">
        <f t="shared" si="18"/>
        <v>0</v>
      </c>
      <c r="F84" s="36"/>
      <c r="G84" s="36"/>
      <c r="H84" s="36"/>
      <c r="I84" s="36"/>
      <c r="J84" s="36"/>
      <c r="K84" s="36"/>
      <c r="L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</row>
    <row r="85" spans="1:33" ht="13.2">
      <c r="A85" s="244"/>
      <c r="B85" s="36"/>
      <c r="C85" s="36"/>
      <c r="D85" s="243" t="s">
        <v>216</v>
      </c>
      <c r="E85" s="242">
        <f t="shared" si="18"/>
        <v>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</row>
    <row r="86" spans="1:33" ht="13.2">
      <c r="A86" s="244"/>
      <c r="B86" s="36"/>
      <c r="C86" s="36"/>
      <c r="D86" s="243" t="s">
        <v>425</v>
      </c>
      <c r="E86" s="242">
        <f t="shared" si="18"/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</row>
    <row r="87" spans="1:33" ht="13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</row>
    <row r="88" spans="1:33" ht="13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</row>
    <row r="89" spans="1:33" ht="13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</row>
    <row r="90" spans="1:33" ht="13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</row>
    <row r="91" spans="1:33" ht="13.2">
      <c r="A91" s="244"/>
      <c r="B91" s="244"/>
      <c r="C91" s="244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</row>
    <row r="92" spans="1:33" ht="13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</row>
    <row r="93" spans="1:33" ht="13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</row>
    <row r="94" spans="1:33" ht="13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</row>
    <row r="95" spans="1:33" ht="13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spans="1:33" ht="13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</row>
    <row r="97" spans="1:33" ht="13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</row>
    <row r="98" spans="1:33" ht="13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</row>
    <row r="99" spans="1:33" ht="13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</row>
    <row r="100" spans="1:33" ht="13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</row>
    <row r="101" spans="1:33" ht="13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</row>
    <row r="102" spans="1:33" ht="13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</row>
    <row r="103" spans="1:33" ht="13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</row>
    <row r="104" spans="1:33" ht="13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</row>
    <row r="105" spans="1:33" ht="13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</row>
    <row r="106" spans="1:33" ht="13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</row>
    <row r="107" spans="1:33" ht="13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</row>
    <row r="108" spans="1:33" ht="13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</row>
    <row r="109" spans="1:33" ht="13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</row>
    <row r="110" spans="1:33" ht="13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</row>
    <row r="111" spans="1:33" ht="13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</row>
    <row r="112" spans="1:33" ht="13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spans="1:33" ht="13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</row>
    <row r="114" spans="1:33" ht="13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</row>
    <row r="115" spans="1:33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</row>
    <row r="116" spans="1:33" ht="13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</row>
    <row r="117" spans="1:33" ht="13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</row>
    <row r="118" spans="1:33" ht="13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</row>
    <row r="119" spans="1:33" ht="13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</row>
    <row r="120" spans="1:33" ht="13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</row>
    <row r="121" spans="1:33" ht="13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</row>
    <row r="122" spans="1:33" ht="13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</row>
    <row r="123" spans="1:33" ht="13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</row>
    <row r="124" spans="1:33" ht="13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</row>
    <row r="125" spans="1:33" ht="13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</row>
    <row r="126" spans="1:33" ht="13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</row>
    <row r="127" spans="1:33" ht="13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</row>
    <row r="128" spans="1:33" ht="13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</row>
    <row r="129" spans="1:33" ht="13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</row>
    <row r="130" spans="1:33" ht="13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</row>
    <row r="131" spans="1:33" ht="13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</row>
    <row r="132" spans="1:33" ht="13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</row>
    <row r="133" spans="1:33" ht="13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</row>
    <row r="134" spans="1:33" ht="13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</row>
    <row r="135" spans="1:33" ht="13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</row>
    <row r="136" spans="1:33" ht="13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</row>
    <row r="137" spans="1:33" ht="13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</row>
    <row r="138" spans="1:33" ht="13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</row>
    <row r="139" spans="1:33" ht="13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</row>
    <row r="140" spans="1:33" ht="13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</row>
    <row r="141" spans="1:33" ht="13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</row>
    <row r="142" spans="1:33" ht="13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</row>
    <row r="143" spans="1:33" ht="13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</row>
    <row r="144" spans="1:33" ht="13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spans="1:33" ht="13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</row>
    <row r="146" spans="1:33" ht="13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</row>
    <row r="147" spans="1:33" ht="13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</row>
    <row r="148" spans="1:33" ht="13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</row>
    <row r="149" spans="1:33" ht="13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</row>
    <row r="150" spans="1:33" ht="13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</row>
    <row r="151" spans="1:33" ht="13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</row>
    <row r="152" spans="1:33" ht="13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</row>
    <row r="153" spans="1:33" ht="13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</row>
    <row r="154" spans="1:33" ht="13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</row>
    <row r="155" spans="1:33" ht="13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</row>
    <row r="156" spans="1:33" ht="13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</row>
    <row r="157" spans="1:33" ht="13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</row>
    <row r="158" spans="1:33" ht="13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</row>
    <row r="159" spans="1:33" ht="13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</row>
    <row r="160" spans="1:33" ht="13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</row>
    <row r="161" spans="1:33" ht="13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</row>
    <row r="162" spans="1:33" ht="13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</row>
    <row r="163" spans="1:33" ht="13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</row>
    <row r="164" spans="1:33" ht="13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</row>
    <row r="165" spans="1:33" ht="13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</row>
    <row r="166" spans="1:33" ht="13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</row>
    <row r="167" spans="1:33" ht="13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</row>
    <row r="168" spans="1:33" ht="13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</row>
    <row r="169" spans="1:33" ht="13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</row>
    <row r="170" spans="1:33" ht="13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</row>
    <row r="171" spans="1:33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</row>
    <row r="172" spans="1:33" ht="13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</row>
    <row r="173" spans="1:33" ht="13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</row>
    <row r="174" spans="1:33" ht="13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</row>
    <row r="175" spans="1:33" ht="13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</row>
    <row r="176" spans="1:33" ht="13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</row>
    <row r="177" spans="1:33" ht="13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</row>
    <row r="178" spans="1:33" ht="13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</row>
    <row r="179" spans="1:33" ht="13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</row>
    <row r="180" spans="1:33" ht="13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</row>
    <row r="181" spans="1:33" ht="13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</row>
    <row r="182" spans="1:33" ht="13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</row>
    <row r="183" spans="1:33" ht="13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</row>
    <row r="184" spans="1:33" ht="13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</row>
    <row r="185" spans="1:33" ht="13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</row>
    <row r="186" spans="1:33" ht="13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</row>
    <row r="187" spans="1:33" ht="13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</row>
    <row r="188" spans="1:33" ht="13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</row>
    <row r="189" spans="1:33" ht="13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</row>
    <row r="190" spans="1:33" ht="13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</row>
    <row r="191" spans="1:33" ht="13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</row>
    <row r="192" spans="1:33" ht="13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</row>
    <row r="193" spans="1:33" ht="13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</row>
    <row r="194" spans="1:33" ht="13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</row>
    <row r="195" spans="1:33" ht="13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</row>
    <row r="196" spans="1:33" ht="13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</row>
    <row r="197" spans="1:33" ht="13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</row>
    <row r="198" spans="1:33" ht="13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</row>
    <row r="199" spans="1:33" ht="13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</row>
    <row r="200" spans="1:33" ht="13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</row>
    <row r="201" spans="1:33" ht="13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</row>
    <row r="202" spans="1:33" ht="13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</row>
    <row r="203" spans="1:33" ht="13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</row>
    <row r="204" spans="1:33" ht="13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</row>
    <row r="205" spans="1:33" ht="13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</row>
    <row r="206" spans="1:33" ht="13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</row>
    <row r="207" spans="1:33" ht="13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</row>
    <row r="208" spans="1:33" ht="13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</row>
    <row r="209" spans="1:33" ht="13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</row>
    <row r="210" spans="1:33" ht="13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</row>
    <row r="211" spans="1:33" ht="13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</row>
    <row r="212" spans="1:33" ht="13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</row>
    <row r="213" spans="1:33" ht="13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</row>
    <row r="214" spans="1:33" ht="13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</row>
    <row r="215" spans="1:33" ht="13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</row>
    <row r="216" spans="1:33" ht="13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</row>
    <row r="217" spans="1:33" ht="13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</row>
    <row r="218" spans="1:33" ht="13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</row>
    <row r="219" spans="1:33" ht="13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</row>
    <row r="220" spans="1:33" ht="13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</row>
    <row r="221" spans="1:33" ht="13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</row>
    <row r="222" spans="1:33" ht="13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</row>
    <row r="223" spans="1:33" ht="13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</row>
    <row r="224" spans="1:33" ht="13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</row>
    <row r="225" spans="1:33" ht="13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</row>
    <row r="226" spans="1:33" ht="13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</row>
    <row r="227" spans="1:33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</row>
    <row r="228" spans="1:33" ht="13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</row>
    <row r="229" spans="1:33" ht="13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</row>
    <row r="230" spans="1:33" ht="13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</row>
    <row r="231" spans="1:33" ht="13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</row>
    <row r="232" spans="1:33" ht="13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</row>
    <row r="233" spans="1:33" ht="13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</row>
    <row r="234" spans="1:33" ht="13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</row>
    <row r="235" spans="1:33" ht="13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</row>
    <row r="236" spans="1:33" ht="13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</row>
    <row r="237" spans="1:33" ht="13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</row>
    <row r="238" spans="1:33" ht="13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</row>
    <row r="239" spans="1:33" ht="13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</row>
    <row r="240" spans="1:33" ht="13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</row>
    <row r="241" spans="1:33" ht="13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</row>
    <row r="242" spans="1:33" ht="13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</row>
    <row r="243" spans="1:33" ht="13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</row>
    <row r="244" spans="1:33" ht="13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</row>
    <row r="245" spans="1:33" ht="13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</row>
    <row r="246" spans="1:33" ht="13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</row>
    <row r="247" spans="1:33" ht="13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</row>
    <row r="248" spans="1:33" ht="13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</row>
    <row r="249" spans="1:33" ht="13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</row>
    <row r="250" spans="1:33" ht="13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</row>
    <row r="251" spans="1:33" ht="13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</row>
    <row r="252" spans="1:33" ht="13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</row>
    <row r="253" spans="1:33" ht="13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</row>
    <row r="254" spans="1:33" ht="13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</row>
    <row r="255" spans="1:33" ht="13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</row>
    <row r="256" spans="1:33" ht="13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</row>
    <row r="257" spans="1:33" ht="13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</row>
    <row r="258" spans="1:33" ht="13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</row>
    <row r="259" spans="1:33" ht="13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</row>
    <row r="260" spans="1:33" ht="13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</row>
    <row r="261" spans="1:33" ht="13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</row>
    <row r="262" spans="1:33" ht="13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</row>
    <row r="263" spans="1:33" ht="13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</row>
    <row r="264" spans="1:33" ht="13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</row>
    <row r="265" spans="1:33" ht="13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</row>
    <row r="266" spans="1:33" ht="13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</row>
    <row r="267" spans="1:33" ht="13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</row>
    <row r="268" spans="1:33" ht="13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</row>
    <row r="269" spans="1:33" ht="13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</row>
    <row r="270" spans="1:33" ht="13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</row>
    <row r="271" spans="1:33" ht="13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</row>
    <row r="272" spans="1:33" ht="13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</row>
    <row r="273" spans="1:33" ht="13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</row>
    <row r="274" spans="1:33" ht="13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</row>
    <row r="275" spans="1:33" ht="13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</row>
    <row r="276" spans="1:33" ht="13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</row>
    <row r="277" spans="1:33" ht="13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</row>
    <row r="278" spans="1:33" ht="13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</row>
    <row r="279" spans="1:33" ht="13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</row>
    <row r="280" spans="1:33" ht="13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</row>
    <row r="281" spans="1:33" ht="13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</row>
    <row r="282" spans="1:33" ht="13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</row>
    <row r="283" spans="1:33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</row>
    <row r="284" spans="1:33" ht="13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</row>
    <row r="285" spans="1:33" ht="13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</row>
    <row r="286" spans="1:33" ht="13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</row>
    <row r="287" spans="1:33" ht="13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</row>
    <row r="288" spans="1:33" ht="13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</row>
    <row r="289" spans="1:33" ht="13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</row>
    <row r="290" spans="1:33" ht="13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</row>
    <row r="291" spans="1:33" ht="13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</row>
    <row r="292" spans="1:33" ht="13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</row>
    <row r="293" spans="1:33" ht="13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</row>
    <row r="294" spans="1:33" ht="13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</row>
    <row r="295" spans="1:33" ht="13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</row>
    <row r="296" spans="1:33" ht="13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</row>
    <row r="297" spans="1:33" ht="13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</row>
    <row r="298" spans="1:33" ht="13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</row>
    <row r="299" spans="1:33" ht="13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</row>
    <row r="300" spans="1:33" ht="13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</row>
    <row r="301" spans="1:33" ht="13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</row>
    <row r="302" spans="1:33" ht="13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</row>
    <row r="303" spans="1:33" ht="13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</row>
    <row r="304" spans="1:33" ht="13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</row>
    <row r="305" spans="1:33" ht="13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</row>
    <row r="306" spans="1:33" ht="13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</row>
    <row r="307" spans="1:33" ht="13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</row>
    <row r="308" spans="1:33" ht="13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</row>
    <row r="309" spans="1:33" ht="13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</row>
    <row r="310" spans="1:33" ht="13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</row>
    <row r="311" spans="1:33" ht="13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</row>
    <row r="312" spans="1:33" ht="13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</row>
    <row r="313" spans="1:33" ht="13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</row>
    <row r="314" spans="1:33" ht="13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</row>
    <row r="315" spans="1:33" ht="13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</row>
    <row r="316" spans="1:33" ht="13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</row>
    <row r="317" spans="1:33" ht="13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</row>
    <row r="318" spans="1:33" ht="13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</row>
    <row r="319" spans="1:33" ht="13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</row>
    <row r="320" spans="1:33" ht="13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</row>
    <row r="321" spans="1:33" ht="13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</row>
    <row r="322" spans="1:33" ht="13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</row>
    <row r="323" spans="1:33" ht="13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</row>
    <row r="324" spans="1:33" ht="13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</row>
    <row r="325" spans="1:33" ht="13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</row>
    <row r="326" spans="1:33" ht="13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</row>
    <row r="327" spans="1:33" ht="13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</row>
    <row r="328" spans="1:33" ht="13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</row>
    <row r="329" spans="1:33" ht="13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</row>
    <row r="330" spans="1:33" ht="13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</row>
    <row r="331" spans="1:33" ht="13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</row>
    <row r="332" spans="1:33" ht="13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</row>
    <row r="333" spans="1:33" ht="13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</row>
    <row r="334" spans="1:33" ht="13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</row>
    <row r="335" spans="1:33" ht="13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</row>
    <row r="336" spans="1:33" ht="13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</row>
    <row r="337" spans="1:33" ht="13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</row>
    <row r="338" spans="1:33" ht="13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</row>
    <row r="339" spans="1:33" ht="13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</row>
    <row r="340" spans="1:33" ht="13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</row>
    <row r="341" spans="1:33" ht="13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</row>
    <row r="342" spans="1:33" ht="13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</row>
    <row r="343" spans="1:33" ht="13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</row>
    <row r="344" spans="1:33" ht="13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</row>
    <row r="345" spans="1:33" ht="13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</row>
    <row r="346" spans="1:33" ht="13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</row>
    <row r="347" spans="1:33" ht="13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</row>
    <row r="348" spans="1:33" ht="13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</row>
    <row r="349" spans="1:33" ht="13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</row>
    <row r="350" spans="1:33" ht="13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</row>
    <row r="351" spans="1:33" ht="13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</row>
    <row r="352" spans="1:33" ht="13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</row>
    <row r="353" spans="1:33" ht="13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</row>
    <row r="354" spans="1:33" ht="13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</row>
    <row r="355" spans="1:33" ht="13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</row>
    <row r="356" spans="1:33" ht="13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</row>
    <row r="357" spans="1:33" ht="13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</row>
    <row r="358" spans="1:33" ht="13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</row>
    <row r="359" spans="1:33" ht="13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</row>
    <row r="360" spans="1:33" ht="13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</row>
    <row r="361" spans="1:33" ht="13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</row>
    <row r="362" spans="1:33" ht="13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</row>
    <row r="363" spans="1:33" ht="13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</row>
    <row r="364" spans="1:33" ht="13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</row>
    <row r="365" spans="1:33" ht="13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</row>
    <row r="366" spans="1:33" ht="13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</row>
    <row r="367" spans="1:33" ht="13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</row>
    <row r="368" spans="1:33" ht="13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</row>
    <row r="369" spans="1:33" ht="13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ht="13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</row>
    <row r="371" spans="1:33" ht="13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</row>
    <row r="372" spans="1:33" ht="13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</row>
    <row r="373" spans="1:33" ht="13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</row>
    <row r="374" spans="1:33" ht="13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</row>
    <row r="375" spans="1:33" ht="13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</row>
    <row r="376" spans="1:33" ht="13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</row>
    <row r="377" spans="1:33" ht="13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</row>
    <row r="378" spans="1:33" ht="13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</row>
    <row r="379" spans="1:33" ht="13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</row>
    <row r="380" spans="1:33" ht="13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</row>
    <row r="381" spans="1:33" ht="13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</row>
    <row r="382" spans="1:33" ht="13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</row>
    <row r="383" spans="1:33" ht="13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</row>
    <row r="384" spans="1:33" ht="13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</row>
    <row r="385" spans="1:33" ht="13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</row>
    <row r="386" spans="1:33" ht="13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</row>
    <row r="387" spans="1:33" ht="13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</row>
    <row r="388" spans="1:33" ht="13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</row>
    <row r="389" spans="1:33" ht="13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</row>
    <row r="390" spans="1:33" ht="13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</row>
    <row r="391" spans="1:33" ht="13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</row>
    <row r="392" spans="1:33" ht="13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</row>
    <row r="393" spans="1:33" ht="13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</row>
    <row r="394" spans="1:33" ht="13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</row>
    <row r="395" spans="1:33" ht="13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</row>
    <row r="396" spans="1:33" ht="13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</row>
    <row r="397" spans="1:33" ht="13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</row>
    <row r="398" spans="1:33" ht="13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</row>
    <row r="399" spans="1:33" ht="13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</row>
    <row r="400" spans="1:33" ht="13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</row>
    <row r="401" spans="1:33" ht="13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</row>
    <row r="402" spans="1:33" ht="13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</row>
    <row r="403" spans="1:33" ht="13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</row>
    <row r="404" spans="1:33" ht="13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</row>
    <row r="405" spans="1:33" ht="13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</row>
    <row r="406" spans="1:33" ht="13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</row>
    <row r="407" spans="1:33" ht="13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</row>
    <row r="408" spans="1:33" ht="13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</row>
    <row r="409" spans="1:33" ht="13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</row>
    <row r="410" spans="1:33" ht="13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</row>
    <row r="411" spans="1:33" ht="13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</row>
    <row r="412" spans="1:33" ht="13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</row>
    <row r="413" spans="1:33" ht="13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</row>
    <row r="414" spans="1:33" ht="13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</row>
    <row r="415" spans="1:33" ht="13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</row>
    <row r="416" spans="1:33" ht="13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</row>
    <row r="417" spans="1:33" ht="13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</row>
    <row r="418" spans="1:33" ht="13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</row>
    <row r="419" spans="1:33" ht="13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</row>
    <row r="420" spans="1:33" ht="13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</row>
    <row r="421" spans="1:33" ht="13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</row>
    <row r="422" spans="1:33" ht="13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</row>
    <row r="423" spans="1:33" ht="13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</row>
    <row r="424" spans="1:33" ht="13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</row>
    <row r="425" spans="1:33" ht="13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</row>
    <row r="426" spans="1:33" ht="13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</row>
    <row r="427" spans="1:33" ht="13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</row>
    <row r="428" spans="1:33" ht="13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</row>
    <row r="429" spans="1:33" ht="13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</row>
    <row r="430" spans="1:33" ht="13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</row>
    <row r="431" spans="1:33" ht="13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</row>
    <row r="432" spans="1:33" ht="13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</row>
    <row r="433" spans="1:33" ht="13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</row>
    <row r="434" spans="1:33" ht="13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</row>
    <row r="435" spans="1:33" ht="13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</row>
    <row r="436" spans="1:33" ht="13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</row>
    <row r="437" spans="1:33" ht="13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</row>
    <row r="438" spans="1:33" ht="13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</row>
    <row r="439" spans="1:33" ht="13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</row>
    <row r="440" spans="1:33" ht="13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</row>
    <row r="441" spans="1:33" ht="13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</row>
    <row r="442" spans="1:33" ht="13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</row>
    <row r="443" spans="1:33" ht="13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</row>
    <row r="444" spans="1:33" ht="13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</row>
    <row r="445" spans="1:33" ht="13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</row>
    <row r="446" spans="1:33" ht="13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</row>
    <row r="447" spans="1:33" ht="13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</row>
    <row r="448" spans="1:33" ht="13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</row>
    <row r="449" spans="1:33" ht="13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</row>
    <row r="450" spans="1:33" ht="13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</row>
    <row r="451" spans="1:33" ht="13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</row>
    <row r="452" spans="1:33" ht="13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</row>
    <row r="453" spans="1:33" ht="13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</row>
    <row r="454" spans="1:33" ht="13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</row>
    <row r="455" spans="1:33" ht="13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</row>
    <row r="456" spans="1:33" ht="13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</row>
    <row r="457" spans="1:33" ht="13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</row>
    <row r="458" spans="1:33" ht="13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</row>
    <row r="459" spans="1:33" ht="13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</row>
    <row r="460" spans="1:33" ht="13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</row>
    <row r="461" spans="1:33" ht="13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</row>
    <row r="462" spans="1:33" ht="13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</row>
    <row r="463" spans="1:33" ht="13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</row>
    <row r="464" spans="1:33" ht="13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</row>
    <row r="465" spans="1:33" ht="13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</row>
    <row r="466" spans="1:33" ht="13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</row>
    <row r="467" spans="1:33" ht="13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</row>
    <row r="468" spans="1:33" ht="13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</row>
    <row r="469" spans="1:33" ht="13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</row>
    <row r="470" spans="1:33" ht="13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</row>
    <row r="471" spans="1:33" ht="13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</row>
    <row r="472" spans="1:33" ht="13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</row>
    <row r="473" spans="1:33" ht="13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</row>
    <row r="474" spans="1:33" ht="13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</row>
    <row r="475" spans="1:33" ht="13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</row>
    <row r="476" spans="1:33" ht="13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</row>
    <row r="477" spans="1:33" ht="13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</row>
    <row r="478" spans="1:33" ht="13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</row>
    <row r="479" spans="1:33" ht="13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</row>
    <row r="480" spans="1:33" ht="13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</row>
    <row r="481" spans="1:33" ht="13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</row>
    <row r="482" spans="1:33" ht="13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</row>
    <row r="483" spans="1:33" ht="13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</row>
    <row r="484" spans="1:33" ht="13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</row>
    <row r="485" spans="1:33" ht="13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</row>
    <row r="486" spans="1:33" ht="13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</row>
    <row r="487" spans="1:33" ht="13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</row>
    <row r="488" spans="1:33" ht="13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</row>
    <row r="489" spans="1:33" ht="13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</row>
    <row r="490" spans="1:33" ht="13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</row>
    <row r="491" spans="1:33" ht="13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</row>
    <row r="492" spans="1:33" ht="13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</row>
    <row r="493" spans="1:33" ht="13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</row>
    <row r="494" spans="1:33" ht="13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</row>
    <row r="495" spans="1:33" ht="13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</row>
    <row r="496" spans="1:33" ht="13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</row>
    <row r="497" spans="1:33" ht="13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</row>
    <row r="498" spans="1:33" ht="13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</row>
    <row r="499" spans="1:33" ht="13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</row>
    <row r="500" spans="1:33" ht="13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spans="1:33" ht="13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</row>
    <row r="502" spans="1:33" ht="13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</row>
    <row r="503" spans="1:33" ht="13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</row>
    <row r="504" spans="1:33" ht="13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</row>
    <row r="505" spans="1:33" ht="13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</row>
    <row r="506" spans="1:33" ht="13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</row>
    <row r="507" spans="1:33" ht="13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</row>
    <row r="508" spans="1:33" ht="13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</row>
    <row r="509" spans="1:33" ht="13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</row>
    <row r="510" spans="1:33" ht="13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</row>
    <row r="511" spans="1:33" ht="13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</row>
    <row r="512" spans="1:33" ht="13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</row>
    <row r="513" spans="1:33" ht="13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</row>
    <row r="514" spans="1:33" ht="13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</row>
    <row r="515" spans="1:33" ht="13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</row>
    <row r="516" spans="1:33" ht="13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</row>
    <row r="517" spans="1:33" ht="13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</row>
    <row r="518" spans="1:33" ht="13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</row>
    <row r="519" spans="1:33" ht="13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</row>
    <row r="520" spans="1:33" ht="13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</row>
    <row r="521" spans="1:33" ht="13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</row>
    <row r="522" spans="1:33" ht="13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</row>
    <row r="523" spans="1:33" ht="13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</row>
    <row r="524" spans="1:33" ht="13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</row>
    <row r="525" spans="1:33" ht="13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</row>
    <row r="526" spans="1:33" ht="13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</row>
    <row r="527" spans="1:33" ht="13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</row>
    <row r="528" spans="1:33" ht="13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</row>
    <row r="529" spans="1:33" ht="13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</row>
    <row r="530" spans="1:33" ht="13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</row>
    <row r="531" spans="1:33" ht="13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</row>
    <row r="532" spans="1:33" ht="13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</row>
    <row r="533" spans="1:33" ht="13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</row>
    <row r="534" spans="1:33" ht="13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</row>
    <row r="535" spans="1:33" ht="13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</row>
    <row r="536" spans="1:33" ht="13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</row>
    <row r="537" spans="1:33" ht="13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</row>
    <row r="538" spans="1:33" ht="13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</row>
    <row r="539" spans="1:33" ht="13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</row>
    <row r="540" spans="1:33" ht="13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</row>
    <row r="541" spans="1:33" ht="13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</row>
    <row r="542" spans="1:33" ht="13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</row>
    <row r="543" spans="1:33" ht="13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</row>
    <row r="544" spans="1:33" ht="13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</row>
    <row r="545" spans="1:33" ht="13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</row>
    <row r="546" spans="1:33" ht="13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</row>
    <row r="547" spans="1:33" ht="13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</row>
    <row r="548" spans="1:33" ht="13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</row>
    <row r="549" spans="1:33" ht="13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</row>
    <row r="550" spans="1:33" ht="13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</row>
    <row r="551" spans="1:33" ht="13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</row>
    <row r="552" spans="1:33" ht="13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</row>
    <row r="553" spans="1:33" ht="13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</row>
    <row r="554" spans="1:33" ht="13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</row>
    <row r="555" spans="1:33" ht="13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</row>
    <row r="556" spans="1:33" ht="13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</row>
    <row r="557" spans="1:33" ht="13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</row>
    <row r="558" spans="1:33" ht="13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</row>
    <row r="559" spans="1:33" ht="13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</row>
    <row r="560" spans="1:33" ht="13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</row>
    <row r="561" spans="1:33" ht="13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</row>
    <row r="562" spans="1:33" ht="13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</row>
    <row r="563" spans="1:33" ht="13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</row>
    <row r="564" spans="1:33" ht="13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</row>
    <row r="565" spans="1:33" ht="13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</row>
    <row r="566" spans="1:33" ht="13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</row>
    <row r="567" spans="1:33" ht="13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</row>
    <row r="568" spans="1:33" ht="13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</row>
    <row r="569" spans="1:33" ht="13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</row>
    <row r="570" spans="1:33" ht="13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</row>
    <row r="571" spans="1:33" ht="13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</row>
    <row r="572" spans="1:33" ht="13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</row>
    <row r="573" spans="1:33" ht="13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</row>
    <row r="574" spans="1:33" ht="13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</row>
    <row r="575" spans="1:33" ht="13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</row>
    <row r="576" spans="1:33" ht="13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</row>
    <row r="577" spans="1:33" ht="13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</row>
    <row r="578" spans="1:33" ht="13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</row>
    <row r="579" spans="1:33" ht="13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</row>
    <row r="580" spans="1:33" ht="13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</row>
    <row r="581" spans="1:33" ht="13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</row>
    <row r="582" spans="1:33" ht="13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</row>
    <row r="583" spans="1:33" ht="13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</row>
    <row r="584" spans="1:33" ht="13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</row>
    <row r="585" spans="1:33" ht="13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</row>
    <row r="586" spans="1:33" ht="13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</row>
    <row r="587" spans="1:33" ht="13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</row>
    <row r="588" spans="1:33" ht="13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</row>
    <row r="589" spans="1:33" ht="13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</row>
    <row r="590" spans="1:33" ht="13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</row>
    <row r="591" spans="1:33" ht="13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</row>
    <row r="592" spans="1:33" ht="13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</row>
    <row r="593" spans="1:33" ht="13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</row>
    <row r="594" spans="1:33" ht="13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</row>
    <row r="595" spans="1:33" ht="13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</row>
    <row r="596" spans="1:33" ht="13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</row>
    <row r="597" spans="1:33" ht="13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</row>
    <row r="598" spans="1:33" ht="13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</row>
    <row r="599" spans="1:33" ht="13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</row>
    <row r="600" spans="1:33" ht="13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</row>
    <row r="601" spans="1:33" ht="13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</row>
    <row r="602" spans="1:33" ht="13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</row>
    <row r="603" spans="1:33" ht="13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</row>
    <row r="604" spans="1:33" ht="13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</row>
    <row r="605" spans="1:33" ht="13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</row>
    <row r="606" spans="1:33" ht="13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</row>
    <row r="607" spans="1:33" ht="13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</row>
    <row r="608" spans="1:33" ht="13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</row>
    <row r="609" spans="1:33" ht="13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</row>
    <row r="610" spans="1:33" ht="13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</row>
    <row r="611" spans="1:33" ht="13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</row>
    <row r="612" spans="1:33" ht="13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</row>
    <row r="613" spans="1:33" ht="13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</row>
    <row r="614" spans="1:33" ht="13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</row>
    <row r="615" spans="1:33" ht="13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</row>
    <row r="616" spans="1:33" ht="13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</row>
    <row r="617" spans="1:33" ht="13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</row>
    <row r="618" spans="1:33" ht="13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</row>
    <row r="619" spans="1:33" ht="13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</row>
    <row r="620" spans="1:33" ht="13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</row>
    <row r="621" spans="1:33" ht="13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</row>
    <row r="622" spans="1:33" ht="13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</row>
    <row r="623" spans="1:33" ht="13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</row>
    <row r="624" spans="1:33" ht="13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</row>
    <row r="625" spans="1:33" ht="13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</row>
    <row r="626" spans="1:33" ht="13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</row>
    <row r="627" spans="1:33" ht="13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</row>
    <row r="628" spans="1:33" ht="13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</row>
    <row r="629" spans="1:33" ht="13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</row>
    <row r="630" spans="1:33" ht="13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</row>
    <row r="631" spans="1:33" ht="13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</row>
    <row r="632" spans="1:33" ht="13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</row>
    <row r="633" spans="1:33" ht="13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</row>
    <row r="634" spans="1:33" ht="13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</row>
    <row r="635" spans="1:33" ht="13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</row>
    <row r="636" spans="1:33" ht="13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</row>
    <row r="637" spans="1:33" ht="13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</row>
    <row r="638" spans="1:33" ht="13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</row>
    <row r="639" spans="1:33" ht="13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</row>
    <row r="640" spans="1:33" ht="13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</row>
    <row r="641" spans="1:33" ht="13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</row>
    <row r="642" spans="1:33" ht="13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</row>
    <row r="643" spans="1:33" ht="13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</row>
    <row r="644" spans="1:33" ht="13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</row>
    <row r="645" spans="1:33" ht="13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</row>
    <row r="646" spans="1:33" ht="13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</row>
    <row r="647" spans="1:33" ht="13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</row>
    <row r="648" spans="1:33" ht="13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</row>
    <row r="649" spans="1:33" ht="13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</row>
    <row r="650" spans="1:33" ht="13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</row>
    <row r="651" spans="1:33" ht="13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</row>
    <row r="652" spans="1:33" ht="13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</row>
    <row r="653" spans="1:33" ht="13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</row>
    <row r="654" spans="1:33" ht="13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</row>
    <row r="655" spans="1:33" ht="13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</row>
    <row r="656" spans="1:33" ht="13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</row>
    <row r="657" spans="1:33" ht="13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</row>
    <row r="658" spans="1:33" ht="13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</row>
    <row r="659" spans="1:33" ht="13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</row>
    <row r="660" spans="1:33" ht="13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</row>
    <row r="661" spans="1:33" ht="13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</row>
    <row r="662" spans="1:33" ht="13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</row>
    <row r="663" spans="1:33" ht="13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</row>
    <row r="664" spans="1:33" ht="13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</row>
    <row r="665" spans="1:33" ht="13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</row>
    <row r="666" spans="1:33" ht="13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</row>
    <row r="667" spans="1:33" ht="13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</row>
    <row r="668" spans="1:33" ht="13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</row>
    <row r="669" spans="1:33" ht="13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</row>
    <row r="670" spans="1:33" ht="13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</row>
    <row r="671" spans="1:33" ht="13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</row>
    <row r="672" spans="1:33" ht="13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</row>
    <row r="673" spans="1:33" ht="13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</row>
    <row r="674" spans="1:33" ht="13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</row>
    <row r="675" spans="1:33" ht="13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</row>
    <row r="676" spans="1:33" ht="13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</row>
    <row r="677" spans="1:33" ht="13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</row>
    <row r="678" spans="1:33" ht="13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</row>
    <row r="679" spans="1:33" ht="13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</row>
    <row r="680" spans="1:33" ht="13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</row>
    <row r="681" spans="1:33" ht="13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</row>
    <row r="682" spans="1:33" ht="13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</row>
    <row r="683" spans="1:33" ht="13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</row>
    <row r="684" spans="1:33" ht="13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</row>
    <row r="685" spans="1:33" ht="13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</row>
    <row r="686" spans="1:33" ht="13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</row>
    <row r="687" spans="1:33" ht="13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</row>
    <row r="688" spans="1:33" ht="13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</row>
    <row r="689" spans="1:33" ht="13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</row>
    <row r="690" spans="1:33" ht="13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</row>
    <row r="691" spans="1:33" ht="13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</row>
    <row r="692" spans="1:33" ht="13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</row>
    <row r="693" spans="1:33" ht="13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</row>
    <row r="694" spans="1:33" ht="13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</row>
    <row r="695" spans="1:33" ht="13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</row>
    <row r="696" spans="1:33" ht="13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</row>
    <row r="697" spans="1:33" ht="13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</row>
    <row r="698" spans="1:33" ht="13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</row>
    <row r="699" spans="1:33" ht="13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</row>
    <row r="700" spans="1:33" ht="13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</row>
    <row r="701" spans="1:33" ht="13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</row>
    <row r="702" spans="1:33" ht="13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</row>
    <row r="703" spans="1:33" ht="13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</row>
    <row r="704" spans="1:33" ht="13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</row>
    <row r="705" spans="1:33" ht="13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</row>
    <row r="706" spans="1:33" ht="13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</row>
    <row r="707" spans="1:33" ht="13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</row>
    <row r="708" spans="1:33" ht="13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</row>
    <row r="709" spans="1:33" ht="13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</row>
    <row r="710" spans="1:33" ht="13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</row>
    <row r="711" spans="1:33" ht="13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</row>
    <row r="712" spans="1:33" ht="13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</row>
    <row r="713" spans="1:33" ht="13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</row>
    <row r="714" spans="1:33" ht="13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</row>
    <row r="715" spans="1:33" ht="13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</row>
    <row r="716" spans="1:33" ht="13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</row>
    <row r="717" spans="1:33" ht="13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</row>
    <row r="718" spans="1:33" ht="13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</row>
    <row r="719" spans="1:33" ht="13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</row>
    <row r="720" spans="1:33" ht="13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</row>
    <row r="721" spans="1:33" ht="13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</row>
    <row r="722" spans="1:33" ht="13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</row>
    <row r="723" spans="1:33" ht="13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</row>
    <row r="724" spans="1:33" ht="13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</row>
    <row r="725" spans="1:33" ht="13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</row>
    <row r="726" spans="1:33" ht="13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</row>
    <row r="727" spans="1:33" ht="13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</row>
    <row r="728" spans="1:33" ht="13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</row>
    <row r="729" spans="1:33" ht="13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</row>
    <row r="730" spans="1:33" ht="13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</row>
    <row r="731" spans="1:33" ht="13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</row>
    <row r="732" spans="1:33" ht="13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</row>
    <row r="733" spans="1:33" ht="13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</row>
    <row r="734" spans="1:33" ht="13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</row>
    <row r="735" spans="1:33" ht="13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</row>
    <row r="736" spans="1:33" ht="13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</row>
    <row r="737" spans="1:33" ht="13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</row>
    <row r="738" spans="1:33" ht="13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</row>
    <row r="739" spans="1:33" ht="13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</row>
    <row r="740" spans="1:33" ht="13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</row>
    <row r="741" spans="1:33" ht="13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</row>
    <row r="742" spans="1:33" ht="13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</row>
    <row r="743" spans="1:33" ht="13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</row>
    <row r="744" spans="1:33" ht="13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</row>
    <row r="745" spans="1:33" ht="13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</row>
    <row r="746" spans="1:33" ht="13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</row>
    <row r="747" spans="1:33" ht="13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</row>
    <row r="748" spans="1:33" ht="13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</row>
    <row r="749" spans="1:33" ht="13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</row>
    <row r="750" spans="1:33" ht="13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</row>
    <row r="751" spans="1:33" ht="13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</row>
    <row r="752" spans="1:33" ht="13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</row>
    <row r="753" spans="1:33" ht="13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</row>
    <row r="754" spans="1:33" ht="13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</row>
    <row r="755" spans="1:33" ht="13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</row>
    <row r="756" spans="1:33" ht="13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</row>
    <row r="757" spans="1:33" ht="13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</row>
    <row r="758" spans="1:33" ht="13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</row>
    <row r="759" spans="1:33" ht="13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</row>
    <row r="760" spans="1:33" ht="13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</row>
    <row r="761" spans="1:33" ht="13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</row>
    <row r="762" spans="1:33" ht="13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</row>
    <row r="763" spans="1:33" ht="13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</row>
    <row r="764" spans="1:33" ht="13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</row>
    <row r="765" spans="1:33" ht="13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</row>
    <row r="766" spans="1:33" ht="13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</row>
    <row r="767" spans="1:33" ht="13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</row>
    <row r="768" spans="1:33" ht="13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</row>
    <row r="769" spans="1:33" ht="13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</row>
    <row r="770" spans="1:33" ht="13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</row>
    <row r="771" spans="1:33" ht="13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</row>
    <row r="772" spans="1:33" ht="13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</row>
    <row r="773" spans="1:33" ht="13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</row>
    <row r="774" spans="1:33" ht="13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</row>
    <row r="775" spans="1:33" ht="13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</row>
    <row r="776" spans="1:33" ht="13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</row>
    <row r="777" spans="1:33" ht="13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</row>
    <row r="778" spans="1:33" ht="13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</row>
    <row r="779" spans="1:33" ht="13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</row>
    <row r="780" spans="1:33" ht="13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</row>
    <row r="781" spans="1:33" ht="13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</row>
    <row r="782" spans="1:33" ht="13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</row>
    <row r="783" spans="1:33" ht="13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</row>
    <row r="784" spans="1:33" ht="13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</row>
    <row r="785" spans="1:33" ht="13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</row>
    <row r="786" spans="1:33" ht="13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</row>
    <row r="787" spans="1:33" ht="13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</row>
    <row r="788" spans="1:33" ht="13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</row>
    <row r="789" spans="1:33" ht="13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</row>
    <row r="790" spans="1:33" ht="13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</row>
    <row r="791" spans="1:33" ht="13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</row>
    <row r="792" spans="1:33" ht="13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</row>
    <row r="793" spans="1:33" ht="13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</row>
    <row r="794" spans="1:33" ht="13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</row>
    <row r="795" spans="1:33" ht="13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</row>
    <row r="796" spans="1:33" ht="13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</row>
    <row r="797" spans="1:33" ht="13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</row>
    <row r="798" spans="1:33" ht="13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</row>
    <row r="799" spans="1:33" ht="13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</row>
    <row r="800" spans="1:33" ht="13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</row>
    <row r="801" spans="1:33" ht="13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</row>
    <row r="802" spans="1:33" ht="13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</row>
    <row r="803" spans="1:33" ht="13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</row>
    <row r="804" spans="1:33" ht="13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</row>
    <row r="805" spans="1:33" ht="13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</row>
    <row r="806" spans="1:33" ht="13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</row>
    <row r="807" spans="1:33" ht="13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</row>
    <row r="808" spans="1:33" ht="13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</row>
    <row r="809" spans="1:33" ht="13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</row>
    <row r="810" spans="1:33" ht="13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</row>
    <row r="811" spans="1:33" ht="13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</row>
    <row r="812" spans="1:33" ht="13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</row>
    <row r="813" spans="1:33" ht="13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</row>
    <row r="814" spans="1:33" ht="13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</row>
    <row r="815" spans="1:33" ht="13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</row>
    <row r="816" spans="1:33" ht="13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</row>
    <row r="817" spans="1:33" ht="13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</row>
    <row r="818" spans="1:33" ht="13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</row>
    <row r="819" spans="1:33" ht="13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</row>
    <row r="820" spans="1:33" ht="13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</row>
    <row r="821" spans="1:33" ht="13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</row>
    <row r="822" spans="1:33" ht="13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</row>
    <row r="823" spans="1:33" ht="13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</row>
    <row r="824" spans="1:33" ht="13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</row>
    <row r="825" spans="1:33" ht="13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</row>
    <row r="826" spans="1:33" ht="13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</row>
    <row r="827" spans="1:33" ht="13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</row>
    <row r="828" spans="1:33" ht="13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</row>
    <row r="829" spans="1:33" ht="13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</row>
    <row r="830" spans="1:33" ht="13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</row>
    <row r="831" spans="1:33" ht="13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</row>
    <row r="832" spans="1:33" ht="13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</row>
    <row r="833" spans="1:33" ht="13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</row>
    <row r="834" spans="1:33" ht="13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</row>
    <row r="835" spans="1:33" ht="13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</row>
    <row r="836" spans="1:33" ht="13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</row>
    <row r="837" spans="1:33" ht="13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</row>
    <row r="838" spans="1:33" ht="13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</row>
    <row r="839" spans="1:33" ht="13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</row>
    <row r="840" spans="1:33" ht="13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</row>
    <row r="841" spans="1:33" ht="13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</row>
    <row r="842" spans="1:33" ht="13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</row>
    <row r="843" spans="1:33" ht="13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</row>
    <row r="844" spans="1:33" ht="13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</row>
    <row r="845" spans="1:33" ht="13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</row>
    <row r="846" spans="1:33" ht="13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</row>
    <row r="847" spans="1:33" ht="13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</row>
    <row r="848" spans="1:33" ht="13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</row>
    <row r="849" spans="1:33" ht="13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</row>
    <row r="850" spans="1:33" ht="13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</row>
    <row r="851" spans="1:33" ht="13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</row>
    <row r="852" spans="1:33" ht="13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</row>
    <row r="853" spans="1:33" ht="13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</row>
    <row r="854" spans="1:33" ht="13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</row>
    <row r="855" spans="1:33" ht="13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</row>
    <row r="856" spans="1:33" ht="13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</row>
    <row r="857" spans="1:33" ht="13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</row>
    <row r="858" spans="1:33" ht="13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</row>
    <row r="859" spans="1:33" ht="13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</row>
    <row r="860" spans="1:33" ht="13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</row>
    <row r="861" spans="1:33" ht="13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</row>
    <row r="862" spans="1:33" ht="13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</row>
    <row r="863" spans="1:33" ht="13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</row>
    <row r="864" spans="1:33" ht="13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</row>
    <row r="865" spans="1:33" ht="13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</row>
    <row r="866" spans="1:33" ht="13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</row>
    <row r="867" spans="1:33" ht="13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</row>
    <row r="868" spans="1:33" ht="13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</row>
    <row r="869" spans="1:33" ht="13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</row>
    <row r="870" spans="1:33" ht="13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</row>
    <row r="871" spans="1:33" ht="13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</row>
    <row r="872" spans="1:33" ht="13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</row>
    <row r="873" spans="1:33" ht="13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</row>
    <row r="874" spans="1:33" ht="13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</row>
    <row r="875" spans="1:33" ht="13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</row>
    <row r="876" spans="1:33" ht="13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</row>
    <row r="877" spans="1:33" ht="13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</row>
    <row r="878" spans="1:33" ht="13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</row>
    <row r="879" spans="1:33" ht="13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</row>
    <row r="880" spans="1:33" ht="13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</row>
    <row r="881" spans="1:33" ht="13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</row>
    <row r="882" spans="1:33" ht="13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</row>
    <row r="883" spans="1:33" ht="13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</row>
    <row r="884" spans="1:33" ht="13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</row>
    <row r="885" spans="1:33" ht="13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</row>
    <row r="886" spans="1:33" ht="13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</row>
    <row r="887" spans="1:33" ht="13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</row>
    <row r="888" spans="1:33" ht="13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</row>
    <row r="889" spans="1:33" ht="13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</row>
    <row r="890" spans="1:33" ht="13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</row>
    <row r="891" spans="1:33" ht="13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</row>
    <row r="892" spans="1:33" ht="13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</row>
    <row r="893" spans="1:33" ht="13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</row>
    <row r="894" spans="1:33" ht="13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</row>
    <row r="895" spans="1:33" ht="13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</row>
    <row r="896" spans="1:33" ht="13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</row>
    <row r="897" spans="1:33" ht="13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</row>
    <row r="898" spans="1:33" ht="13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</row>
    <row r="899" spans="1:33" ht="13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</row>
    <row r="900" spans="1:33" ht="13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</row>
    <row r="901" spans="1:33" ht="13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</row>
    <row r="902" spans="1:33" ht="13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</row>
    <row r="903" spans="1:33" ht="13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</row>
    <row r="904" spans="1:33" ht="13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</row>
    <row r="905" spans="1:33" ht="13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</row>
    <row r="906" spans="1:33" ht="13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</row>
    <row r="907" spans="1:33" ht="13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</row>
    <row r="908" spans="1:33" ht="13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</row>
    <row r="909" spans="1:33" ht="13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</row>
    <row r="910" spans="1:33" ht="13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</row>
    <row r="911" spans="1:33" ht="13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</row>
    <row r="912" spans="1:33" ht="13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</row>
    <row r="913" spans="1:33" ht="13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</row>
    <row r="914" spans="1:33" ht="13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</row>
    <row r="915" spans="1:33" ht="13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</row>
    <row r="916" spans="1:33" ht="13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</row>
    <row r="917" spans="1:33" ht="13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</row>
    <row r="918" spans="1:33" ht="13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</row>
    <row r="919" spans="1:33" ht="13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</row>
    <row r="920" spans="1:33" ht="13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</row>
    <row r="921" spans="1:33" ht="13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</row>
    <row r="922" spans="1:33" ht="13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</row>
    <row r="923" spans="1:33" ht="13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</row>
    <row r="924" spans="1:33" ht="13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</row>
    <row r="925" spans="1:33" ht="13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</row>
    <row r="926" spans="1:33" ht="13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</row>
    <row r="927" spans="1:33" ht="13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</row>
    <row r="928" spans="1:33" ht="13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</row>
    <row r="929" spans="1:33" ht="13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</row>
    <row r="930" spans="1:33" ht="13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</row>
    <row r="931" spans="1:33" ht="13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</row>
    <row r="932" spans="1:33" ht="13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</row>
    <row r="933" spans="1:33" ht="13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</row>
    <row r="934" spans="1:33" ht="13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</row>
    <row r="935" spans="1:33" ht="13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</row>
    <row r="936" spans="1:33" ht="13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</row>
    <row r="937" spans="1:33" ht="13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</row>
    <row r="938" spans="1:33" ht="13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</row>
    <row r="939" spans="1:33" ht="13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</row>
    <row r="940" spans="1:33" ht="13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</row>
    <row r="941" spans="1:33" ht="13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</row>
    <row r="942" spans="1:33" ht="13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</row>
    <row r="943" spans="1:33" ht="13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</row>
    <row r="944" spans="1:33" ht="13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</row>
    <row r="945" spans="1:33" ht="13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</row>
    <row r="946" spans="1:33" ht="13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</row>
    <row r="947" spans="1:33" ht="13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</row>
    <row r="948" spans="1:33" ht="13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</row>
    <row r="949" spans="1:33" ht="13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</row>
    <row r="950" spans="1:33" ht="13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</row>
    <row r="951" spans="1:33" ht="13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</row>
    <row r="952" spans="1:33" ht="13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</row>
    <row r="953" spans="1:33" ht="13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</row>
    <row r="954" spans="1:33" ht="13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</row>
    <row r="955" spans="1:33" ht="13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</row>
    <row r="956" spans="1:33" ht="13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</row>
    <row r="957" spans="1:33" ht="13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</row>
    <row r="958" spans="1:33" ht="13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</row>
    <row r="959" spans="1:33" ht="13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</row>
    <row r="960" spans="1:33" ht="13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</row>
    <row r="961" spans="1:33" ht="13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</row>
    <row r="962" spans="1:33" ht="13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</row>
    <row r="963" spans="1:33" ht="13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</row>
    <row r="964" spans="1:33" ht="13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</row>
    <row r="965" spans="1:33" ht="13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</row>
    <row r="966" spans="1:33" ht="13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</row>
    <row r="967" spans="1:33" ht="13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</row>
    <row r="968" spans="1:33" ht="13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</row>
    <row r="969" spans="1:33" ht="13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</row>
    <row r="970" spans="1:33" ht="13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</row>
    <row r="971" spans="1:33" ht="13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</row>
    <row r="972" spans="1:33" ht="13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</row>
    <row r="973" spans="1:33" ht="13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</row>
    <row r="974" spans="1:33" ht="13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</row>
    <row r="975" spans="1:33" ht="13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</row>
    <row r="976" spans="1:33" ht="13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</row>
    <row r="977" spans="1:33" ht="13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</row>
    <row r="978" spans="1:33" ht="13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</row>
    <row r="979" spans="1:33" ht="13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</row>
    <row r="980" spans="1:33" ht="13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</row>
    <row r="981" spans="1:33" ht="13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</row>
    <row r="982" spans="1:33" ht="13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</row>
    <row r="983" spans="1:33" ht="13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</row>
    <row r="984" spans="1:33" ht="13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</row>
    <row r="985" spans="1:33" ht="13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</row>
    <row r="986" spans="1:33" ht="13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</row>
    <row r="987" spans="1:33" ht="13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</row>
    <row r="988" spans="1:33" ht="13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</row>
    <row r="989" spans="1:33" ht="13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</row>
    <row r="990" spans="1:33" ht="13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</row>
    <row r="991" spans="1:33" ht="13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</row>
    <row r="992" spans="1:33" ht="13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</row>
    <row r="993" spans="1:33" ht="13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</row>
    <row r="994" spans="1:33" ht="13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</row>
    <row r="995" spans="1:33" ht="13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</row>
    <row r="996" spans="1:33" ht="13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</row>
    <row r="997" spans="1:33" ht="13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</row>
    <row r="998" spans="1:33" ht="13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</row>
    <row r="999" spans="1:33" ht="13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</row>
    <row r="1000" spans="1:33" ht="13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</row>
    <row r="1001" spans="1:33" ht="13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</row>
    <row r="1002" spans="1:33" ht="13.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</row>
    <row r="1003" spans="1:33" ht="13.2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</row>
    <row r="1004" spans="1:33" ht="13.2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</row>
    <row r="1005" spans="1:33" ht="13.2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</row>
    <row r="1006" spans="1:33" ht="13.2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</row>
    <row r="1007" spans="1:33" ht="13.2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</row>
    <row r="1008" spans="1:33" ht="13.2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</row>
    <row r="1009" spans="1:33" ht="13.2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</row>
    <row r="1010" spans="1:33" ht="13.2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</row>
    <row r="1011" spans="1:33" ht="13.2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</row>
    <row r="1012" spans="1:33" ht="13.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</row>
    <row r="1013" spans="1:33" ht="13.2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</row>
    <row r="1014" spans="1:33" ht="13.2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</row>
    <row r="1015" spans="1:33" ht="13.2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</row>
    <row r="1016" spans="1:33" ht="13.2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</row>
    <row r="1017" spans="1:33" ht="13.2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</row>
    <row r="1018" spans="1:33" ht="13.2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</row>
    <row r="1019" spans="1:33" ht="13.2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</row>
    <row r="1020" spans="1:33" ht="13.2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</row>
    <row r="1021" spans="1:33" ht="13.2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</row>
    <row r="1022" spans="1:33" ht="13.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</row>
    <row r="1023" spans="1:33" ht="13.2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</row>
    <row r="1024" spans="1:33" ht="13.2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</row>
    <row r="1025" spans="1:33" ht="13.2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</row>
    <row r="1026" spans="1:33" ht="13.2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</row>
    <row r="1027" spans="1:33" ht="13.2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</row>
    <row r="1028" spans="1:33" ht="13.2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</row>
    <row r="1029" spans="1:33" ht="13.2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</row>
    <row r="1030" spans="1:33" ht="13.2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</row>
    <row r="1031" spans="1:33" ht="13.2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</row>
    <row r="1032" spans="1:33" ht="13.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</row>
    <row r="1033" spans="1:33" ht="13.2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</row>
    <row r="1034" spans="1:33" ht="13.2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</row>
    <row r="1035" spans="1:33" ht="13.2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</row>
    <row r="1036" spans="1:33" ht="13.2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</row>
    <row r="1037" spans="1:33" ht="13.2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</row>
    <row r="1038" spans="1:33" ht="13.2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</row>
    <row r="1039" spans="1:33" ht="13.2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</row>
    <row r="1040" spans="1:33" ht="13.2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</row>
    <row r="1041" spans="1:33" ht="13.2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</row>
    <row r="1042" spans="1:33" ht="13.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</row>
    <row r="1043" spans="1:33" ht="13.2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</row>
    <row r="1044" spans="1:33" ht="13.2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</row>
    <row r="1045" spans="1:33" ht="13.2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</row>
    <row r="1046" spans="1:33" ht="13.2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</row>
    <row r="1047" spans="1:33" ht="13.2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</row>
    <row r="1048" spans="1:33" ht="13.2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</row>
    <row r="1049" spans="1:33" ht="13.2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</row>
    <row r="1050" spans="1:33" ht="13.2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</row>
    <row r="1051" spans="1:33" ht="13.2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</row>
    <row r="1052" spans="1:33" ht="13.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</row>
    <row r="1053" spans="1:33" ht="13.2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</row>
    <row r="1054" spans="1:33" ht="13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3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3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3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3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</sheetData>
  <mergeCells count="7">
    <mergeCell ref="A19:A23"/>
    <mergeCell ref="A44:A57"/>
    <mergeCell ref="A3:A18"/>
    <mergeCell ref="D78:E78"/>
    <mergeCell ref="A1:N1"/>
    <mergeCell ref="A24:A43"/>
    <mergeCell ref="A58:A75"/>
  </mergeCells>
  <conditionalFormatting sqref="D79:D83">
    <cfRule type="cellIs" dxfId="30" priority="1" operator="equal">
      <formula>"Reçue"</formula>
    </cfRule>
  </conditionalFormatting>
  <conditionalFormatting sqref="D79:D83">
    <cfRule type="cellIs" dxfId="29" priority="2" operator="equal">
      <formula>"En préparation"</formula>
    </cfRule>
  </conditionalFormatting>
  <conditionalFormatting sqref="D79:D83">
    <cfRule type="cellIs" dxfId="28" priority="3" operator="equal">
      <formula>"En attente"</formula>
    </cfRule>
  </conditionalFormatting>
  <conditionalFormatting sqref="D79:D83">
    <cfRule type="cellIs" dxfId="27" priority="4" operator="equal">
      <formula>"Devis reçu"</formula>
    </cfRule>
  </conditionalFormatting>
  <conditionalFormatting sqref="D79:D83">
    <cfRule type="cellIs" dxfId="26" priority="5" operator="equal">
      <formula>"Lancée"</formula>
    </cfRule>
  </conditionalFormatting>
  <conditionalFormatting sqref="L2:L75 L77 L80 L83:L1058">
    <cfRule type="cellIs" dxfId="25" priority="6" operator="equal">
      <formula>"En préparation"</formula>
    </cfRule>
  </conditionalFormatting>
  <conditionalFormatting sqref="L2:L75 L77 L80 L83:L1058">
    <cfRule type="containsText" dxfId="24" priority="7" operator="containsText" text="Devis déposé">
      <formula>NOT(ISERROR(SEARCH(("Devis déposé"),(L2))))</formula>
    </cfRule>
  </conditionalFormatting>
  <conditionalFormatting sqref="L2:L75 L77 L80 L83:L1058">
    <cfRule type="containsText" dxfId="23" priority="8" operator="containsText" text="Devis vérifié">
      <formula>NOT(ISERROR(SEARCH(("Devis vérifié"),(L2))))</formula>
    </cfRule>
  </conditionalFormatting>
  <conditionalFormatting sqref="L2:L75 L77 L80 L83:L1058">
    <cfRule type="containsText" dxfId="22" priority="9" operator="containsText" text="Devis accepté">
      <formula>NOT(ISERROR(SEARCH(("Devis accepté"),(L2))))</formula>
    </cfRule>
  </conditionalFormatting>
  <conditionalFormatting sqref="L2:L75 L77 L80 L83:L1058">
    <cfRule type="containsText" dxfId="21" priority="10" operator="containsText" text="Commandé">
      <formula>NOT(ISERROR(SEARCH(("Commandé"),(L2))))</formula>
    </cfRule>
  </conditionalFormatting>
  <conditionalFormatting sqref="L3:L75 L77 L80 L83:L1053">
    <cfRule type="containsText" dxfId="20" priority="11" operator="containsText" text="Livré">
      <formula>NOT(ISERROR(SEARCH(("Livré"),(L3))))</formula>
    </cfRule>
  </conditionalFormatting>
  <conditionalFormatting sqref="L3:L75 L77 L80 L83:L1058">
    <cfRule type="containsText" dxfId="19" priority="12" operator="containsText" text="Problème commande">
      <formula>NOT(ISERROR(SEARCH(("Problème commande"),(L3))))</formula>
    </cfRule>
  </conditionalFormatting>
  <conditionalFormatting sqref="O3:O75">
    <cfRule type="timePeriod" dxfId="18" priority="13" timePeriod="today">
      <formula>FLOOR(O3,1)=TODAY()</formula>
    </cfRule>
  </conditionalFormatting>
  <conditionalFormatting sqref="O3:O75">
    <cfRule type="cellIs" dxfId="17" priority="14" operator="between">
      <formula>0</formula>
      <formula>3</formula>
    </cfRule>
  </conditionalFormatting>
  <conditionalFormatting sqref="O3:Q75">
    <cfRule type="cellIs" dxfId="16" priority="15" operator="equal">
      <formula>"Ok"</formula>
    </cfRule>
  </conditionalFormatting>
  <conditionalFormatting sqref="O3:O75">
    <cfRule type="cellIs" dxfId="15" priority="16" operator="between">
      <formula>3</formula>
      <formula>7</formula>
    </cfRule>
  </conditionalFormatting>
  <conditionalFormatting sqref="O3:O75">
    <cfRule type="cellIs" dxfId="14" priority="17" operator="greaterThan">
      <formula>7</formula>
    </cfRule>
  </conditionalFormatting>
  <conditionalFormatting sqref="P3:P75">
    <cfRule type="cellIs" dxfId="13" priority="18" operator="between">
      <formula>1</formula>
      <formula>7</formula>
    </cfRule>
  </conditionalFormatting>
  <conditionalFormatting sqref="P3:P75">
    <cfRule type="cellIs" dxfId="12" priority="19" operator="lessThanOrEqual">
      <formula>1</formula>
    </cfRule>
  </conditionalFormatting>
  <conditionalFormatting sqref="P3:P75">
    <cfRule type="cellIs" dxfId="11" priority="20" operator="between">
      <formula>7</formula>
      <formula>14</formula>
    </cfRule>
  </conditionalFormatting>
  <conditionalFormatting sqref="Q3:Q75">
    <cfRule type="timePeriod" dxfId="10" priority="21" timePeriod="today">
      <formula>FLOOR(Q3,1)=TODAY()</formula>
    </cfRule>
  </conditionalFormatting>
  <conditionalFormatting sqref="Q3:Q75">
    <cfRule type="cellIs" dxfId="9" priority="22" operator="greaterThanOrEqual">
      <formula>21</formula>
    </cfRule>
  </conditionalFormatting>
  <conditionalFormatting sqref="Q3:Q75">
    <cfRule type="cellIs" dxfId="8" priority="23" operator="greaterThan">
      <formula>0</formula>
    </cfRule>
  </conditionalFormatting>
  <conditionalFormatting sqref="L3:L75">
    <cfRule type="cellIs" dxfId="7" priority="24" operator="equal">
      <formula>"BDL reçu"</formula>
    </cfRule>
  </conditionalFormatting>
  <conditionalFormatting sqref="L3:L75">
    <cfRule type="cellIs" dxfId="6" priority="25" operator="equal">
      <formula>"payé"</formula>
    </cfRule>
  </conditionalFormatting>
  <dataValidations count="1">
    <dataValidation type="list" allowBlank="1" sqref="L3:L75">
      <formula1>"validé,commandé,acheté,remboursement demandé,remboursé"</formula1>
    </dataValidation>
  </dataValidation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0"/>
  <sheetViews>
    <sheetView workbookViewId="0"/>
  </sheetViews>
  <sheetFormatPr baseColWidth="10" defaultColWidth="14.44140625" defaultRowHeight="15.75" customHeight="1"/>
  <cols>
    <col min="1" max="1" width="24.88671875" customWidth="1"/>
    <col min="2" max="2" width="58" customWidth="1"/>
    <col min="3" max="3" width="26.5546875" customWidth="1"/>
    <col min="4" max="4" width="21.109375" customWidth="1"/>
    <col min="5" max="5" width="19.5546875" customWidth="1"/>
    <col min="6" max="6" width="21.5546875" customWidth="1"/>
    <col min="7" max="7" width="17.44140625" customWidth="1"/>
    <col min="8" max="8" width="19.88671875" customWidth="1"/>
    <col min="11" max="11" width="29" customWidth="1"/>
  </cols>
  <sheetData>
    <row r="1" spans="1:11" ht="15.75" customHeight="1">
      <c r="A1" s="275" t="s">
        <v>195</v>
      </c>
      <c r="B1" s="275" t="s">
        <v>426</v>
      </c>
      <c r="C1" s="275" t="s">
        <v>427</v>
      </c>
      <c r="D1" s="275" t="s">
        <v>428</v>
      </c>
      <c r="E1" s="275" t="s">
        <v>429</v>
      </c>
      <c r="F1" s="275" t="s">
        <v>430</v>
      </c>
      <c r="G1" s="275" t="s">
        <v>431</v>
      </c>
      <c r="H1" s="247" t="s">
        <v>432</v>
      </c>
      <c r="I1" s="275" t="s">
        <v>433</v>
      </c>
      <c r="J1" s="275" t="s">
        <v>434</v>
      </c>
      <c r="K1" s="389" t="s">
        <v>435</v>
      </c>
    </row>
    <row r="2" spans="1:11" ht="15.75" customHeight="1">
      <c r="A2" s="92" t="s">
        <v>436</v>
      </c>
      <c r="B2" s="92" t="s">
        <v>771</v>
      </c>
      <c r="C2" s="92" t="s">
        <v>772</v>
      </c>
      <c r="D2" s="92">
        <v>25</v>
      </c>
      <c r="E2" s="258"/>
      <c r="F2" s="323"/>
      <c r="G2" s="323"/>
      <c r="H2" s="258"/>
      <c r="I2" s="92"/>
    </row>
    <row r="3" spans="1:11" ht="15.75" customHeight="1">
      <c r="A3" s="92" t="s">
        <v>436</v>
      </c>
      <c r="B3" s="92" t="s">
        <v>774</v>
      </c>
      <c r="C3" s="92" t="s">
        <v>775</v>
      </c>
      <c r="D3" s="92">
        <v>25</v>
      </c>
      <c r="E3" s="258"/>
      <c r="F3" s="323"/>
      <c r="G3" s="323">
        <v>11</v>
      </c>
      <c r="H3" s="400">
        <f>1.2*G3</f>
        <v>13.2</v>
      </c>
      <c r="I3" s="92" t="s">
        <v>214</v>
      </c>
    </row>
    <row r="4" spans="1:11" ht="15.75" customHeight="1">
      <c r="A4" s="92" t="s">
        <v>436</v>
      </c>
      <c r="B4" s="92" t="s">
        <v>776</v>
      </c>
      <c r="C4" s="92" t="s">
        <v>777</v>
      </c>
      <c r="D4" s="92">
        <v>50</v>
      </c>
      <c r="E4" s="258"/>
      <c r="F4" s="258"/>
      <c r="G4" s="258"/>
      <c r="H4" s="258"/>
      <c r="I4" s="92" t="s">
        <v>221</v>
      </c>
    </row>
    <row r="5" spans="1:11" ht="15.75" customHeight="1">
      <c r="A5" s="92" t="s">
        <v>436</v>
      </c>
      <c r="B5" s="92" t="s">
        <v>778</v>
      </c>
      <c r="C5" s="92" t="s">
        <v>779</v>
      </c>
      <c r="D5" s="92">
        <v>50</v>
      </c>
      <c r="E5" s="258"/>
      <c r="F5" s="258"/>
      <c r="G5" s="258"/>
      <c r="H5" s="258"/>
      <c r="I5" s="92" t="s">
        <v>221</v>
      </c>
    </row>
    <row r="6" spans="1:11" ht="15.75" customHeight="1">
      <c r="A6" s="92" t="s">
        <v>436</v>
      </c>
      <c r="B6" s="92" t="s">
        <v>780</v>
      </c>
      <c r="C6" s="92" t="s">
        <v>782</v>
      </c>
      <c r="D6" s="92">
        <v>100</v>
      </c>
      <c r="E6" s="258"/>
      <c r="F6" s="258"/>
      <c r="G6" s="258"/>
      <c r="H6" s="258"/>
      <c r="I6" s="92"/>
    </row>
    <row r="7" spans="1:11" ht="15.75" customHeight="1">
      <c r="A7" s="92" t="s">
        <v>436</v>
      </c>
      <c r="B7" s="92" t="s">
        <v>783</v>
      </c>
      <c r="C7" s="92" t="s">
        <v>784</v>
      </c>
      <c r="D7" s="92">
        <v>25</v>
      </c>
      <c r="E7" s="258"/>
      <c r="F7" s="258"/>
      <c r="G7" s="258"/>
      <c r="H7" s="258"/>
      <c r="I7" s="92" t="s">
        <v>221</v>
      </c>
    </row>
    <row r="8" spans="1:11" ht="15.75" customHeight="1">
      <c r="A8" s="92" t="s">
        <v>436</v>
      </c>
      <c r="B8" s="92" t="s">
        <v>785</v>
      </c>
      <c r="C8" s="92" t="s">
        <v>786</v>
      </c>
      <c r="D8" s="92">
        <v>25</v>
      </c>
      <c r="E8" s="258"/>
      <c r="F8" s="258"/>
      <c r="G8" s="258"/>
      <c r="H8" s="258"/>
      <c r="I8" s="92" t="s">
        <v>221</v>
      </c>
    </row>
    <row r="9" spans="1:11" ht="15.75" customHeight="1">
      <c r="A9" s="92" t="s">
        <v>436</v>
      </c>
      <c r="B9" s="92" t="s">
        <v>787</v>
      </c>
      <c r="C9" s="92" t="s">
        <v>788</v>
      </c>
      <c r="D9" s="92">
        <v>50</v>
      </c>
      <c r="E9" s="258"/>
      <c r="F9" s="258"/>
      <c r="G9" s="258"/>
      <c r="H9" s="258"/>
      <c r="I9" s="92"/>
    </row>
    <row r="10" spans="1:11" ht="15.75" customHeight="1">
      <c r="A10" s="92" t="s">
        <v>436</v>
      </c>
      <c r="B10" s="92" t="s">
        <v>790</v>
      </c>
      <c r="C10" s="92" t="s">
        <v>791</v>
      </c>
      <c r="D10" s="92">
        <v>25</v>
      </c>
      <c r="E10" s="258">
        <f>SUM(D2:D10)</f>
        <v>375</v>
      </c>
      <c r="F10" s="258"/>
      <c r="G10" s="258"/>
      <c r="H10" s="258"/>
      <c r="I10" s="92" t="s">
        <v>221</v>
      </c>
    </row>
    <row r="11" spans="1:11" ht="15.75" customHeight="1">
      <c r="A11" s="92" t="s">
        <v>436</v>
      </c>
      <c r="B11" s="92" t="s">
        <v>792</v>
      </c>
      <c r="C11" s="92" t="s">
        <v>793</v>
      </c>
      <c r="D11" s="92">
        <v>25</v>
      </c>
      <c r="E11" s="258"/>
      <c r="F11" s="258"/>
      <c r="G11" s="258"/>
      <c r="H11" s="258"/>
      <c r="I11" s="92" t="s">
        <v>221</v>
      </c>
    </row>
    <row r="12" spans="1:11" ht="15.75" customHeight="1">
      <c r="A12" s="92" t="s">
        <v>436</v>
      </c>
      <c r="B12" s="92" t="s">
        <v>794</v>
      </c>
      <c r="C12" s="92" t="s">
        <v>795</v>
      </c>
      <c r="D12" s="92">
        <v>25</v>
      </c>
      <c r="E12" s="258"/>
      <c r="F12" s="258"/>
      <c r="G12" s="258"/>
      <c r="H12" s="258"/>
      <c r="I12" s="92" t="s">
        <v>221</v>
      </c>
    </row>
    <row r="13" spans="1:11" ht="15.75" customHeight="1">
      <c r="A13" s="92" t="s">
        <v>436</v>
      </c>
      <c r="B13" s="92" t="s">
        <v>796</v>
      </c>
      <c r="C13" s="92" t="s">
        <v>797</v>
      </c>
      <c r="D13" s="92">
        <v>5</v>
      </c>
      <c r="E13" s="258"/>
      <c r="F13" s="323">
        <v>0.55000000000000004</v>
      </c>
      <c r="G13" s="400">
        <f>F13*(D13+E13)</f>
        <v>2.75</v>
      </c>
      <c r="H13" s="400">
        <f>G13*1.2</f>
        <v>3.3</v>
      </c>
      <c r="I13" s="92" t="s">
        <v>214</v>
      </c>
    </row>
    <row r="14" spans="1:11" ht="15.75" customHeight="1">
      <c r="A14" s="92" t="s">
        <v>436</v>
      </c>
      <c r="B14" s="92" t="s">
        <v>800</v>
      </c>
      <c r="C14" s="92" t="s">
        <v>801</v>
      </c>
      <c r="D14" s="92">
        <v>10</v>
      </c>
      <c r="E14" s="258"/>
      <c r="F14" s="258"/>
      <c r="G14" s="258"/>
      <c r="H14" s="258"/>
      <c r="I14" s="258"/>
    </row>
    <row r="15" spans="1:11" ht="15.75" customHeight="1">
      <c r="A15" s="92" t="s">
        <v>436</v>
      </c>
      <c r="B15" s="92" t="s">
        <v>802</v>
      </c>
      <c r="C15" s="92" t="s">
        <v>803</v>
      </c>
      <c r="D15" s="92">
        <v>50</v>
      </c>
      <c r="E15" s="258"/>
      <c r="F15" s="258"/>
      <c r="G15" s="258"/>
      <c r="H15" s="258"/>
      <c r="I15" s="258"/>
    </row>
    <row r="16" spans="1:11" ht="15.75" customHeight="1">
      <c r="A16" s="92" t="s">
        <v>436</v>
      </c>
      <c r="B16" s="92" t="s">
        <v>804</v>
      </c>
      <c r="C16" s="92" t="s">
        <v>805</v>
      </c>
      <c r="D16" s="92">
        <v>50</v>
      </c>
      <c r="E16" s="258"/>
      <c r="F16" s="258"/>
      <c r="G16" s="258"/>
      <c r="H16" s="258"/>
      <c r="I16" s="258"/>
    </row>
    <row r="17" spans="1:9" ht="15.75" customHeight="1">
      <c r="A17" s="92" t="s">
        <v>457</v>
      </c>
      <c r="B17" s="92" t="s">
        <v>807</v>
      </c>
      <c r="C17" s="92" t="s">
        <v>808</v>
      </c>
      <c r="D17" s="92">
        <v>10</v>
      </c>
      <c r="E17" s="258"/>
      <c r="F17" s="258"/>
      <c r="G17" s="258"/>
      <c r="H17" s="258"/>
      <c r="I17" s="258"/>
    </row>
    <row r="18" spans="1:9" ht="15.75" customHeight="1">
      <c r="A18" s="92" t="s">
        <v>457</v>
      </c>
      <c r="B18" s="92" t="s">
        <v>809</v>
      </c>
      <c r="C18" s="92" t="s">
        <v>810</v>
      </c>
      <c r="D18" s="92">
        <v>5</v>
      </c>
      <c r="E18" s="258"/>
      <c r="F18" s="258"/>
      <c r="G18" s="258"/>
      <c r="H18" s="258"/>
      <c r="I18" s="258"/>
    </row>
    <row r="19" spans="1:9" ht="15.75" customHeight="1">
      <c r="A19" s="92" t="s">
        <v>457</v>
      </c>
      <c r="B19" s="92" t="s">
        <v>811</v>
      </c>
      <c r="C19" s="92" t="s">
        <v>812</v>
      </c>
      <c r="D19" s="92">
        <v>5</v>
      </c>
      <c r="E19" s="258"/>
      <c r="F19" s="258"/>
      <c r="G19" s="258"/>
      <c r="H19" s="258"/>
      <c r="I19" s="258"/>
    </row>
    <row r="20" spans="1:9" ht="15.75" customHeight="1">
      <c r="A20" s="92" t="s">
        <v>457</v>
      </c>
      <c r="B20" s="92" t="s">
        <v>813</v>
      </c>
      <c r="C20" s="92" t="s">
        <v>814</v>
      </c>
      <c r="D20" s="92">
        <v>20</v>
      </c>
      <c r="E20" s="258"/>
      <c r="F20" s="258"/>
      <c r="G20" s="258"/>
      <c r="H20" s="258"/>
      <c r="I20" s="258"/>
    </row>
    <row r="21" spans="1:9" ht="15.75" customHeight="1">
      <c r="A21" s="92" t="s">
        <v>487</v>
      </c>
      <c r="B21" s="92" t="s">
        <v>815</v>
      </c>
      <c r="C21" s="92" t="s">
        <v>816</v>
      </c>
      <c r="D21" s="92">
        <v>10</v>
      </c>
      <c r="E21" s="258"/>
      <c r="F21" s="258"/>
      <c r="G21" s="258"/>
      <c r="H21" s="258"/>
      <c r="I21" s="258"/>
    </row>
    <row r="22" spans="1:9" ht="15.75" customHeight="1">
      <c r="A22" s="92" t="s">
        <v>487</v>
      </c>
      <c r="B22" s="92" t="s">
        <v>817</v>
      </c>
      <c r="C22" s="92" t="s">
        <v>818</v>
      </c>
      <c r="D22" s="92">
        <v>10</v>
      </c>
      <c r="E22" s="258"/>
      <c r="F22" s="258"/>
      <c r="G22" s="258"/>
      <c r="H22" s="258"/>
      <c r="I22" s="258"/>
    </row>
    <row r="23" spans="1:9" ht="15.75" customHeight="1">
      <c r="A23" s="92" t="s">
        <v>358</v>
      </c>
      <c r="B23" s="92" t="s">
        <v>819</v>
      </c>
      <c r="C23" s="92" t="s">
        <v>820</v>
      </c>
      <c r="D23" s="92">
        <v>150</v>
      </c>
      <c r="E23" s="258"/>
      <c r="F23" s="258"/>
      <c r="G23" s="258"/>
      <c r="H23" s="258"/>
      <c r="I23" s="258"/>
    </row>
    <row r="24" spans="1:9" ht="15.75" customHeight="1">
      <c r="A24" s="92" t="s">
        <v>358</v>
      </c>
      <c r="B24" s="92" t="s">
        <v>821</v>
      </c>
      <c r="C24" s="92" t="s">
        <v>822</v>
      </c>
      <c r="D24" s="92">
        <v>200</v>
      </c>
      <c r="E24" s="258"/>
      <c r="F24" s="258"/>
      <c r="G24" s="258"/>
      <c r="H24" s="258"/>
      <c r="I24" s="258"/>
    </row>
    <row r="25" spans="1:9" ht="15.75" customHeight="1">
      <c r="A25" s="92" t="s">
        <v>358</v>
      </c>
      <c r="B25" s="92" t="s">
        <v>823</v>
      </c>
      <c r="C25" s="92" t="s">
        <v>824</v>
      </c>
      <c r="D25" s="92">
        <v>50</v>
      </c>
      <c r="E25" s="258"/>
      <c r="F25" s="258"/>
      <c r="G25" s="258"/>
      <c r="H25" s="258"/>
      <c r="I25" s="258"/>
    </row>
    <row r="26" spans="1:9" ht="15.75" customHeight="1">
      <c r="A26" s="92" t="s">
        <v>358</v>
      </c>
      <c r="B26" s="92" t="s">
        <v>825</v>
      </c>
      <c r="C26" s="92" t="s">
        <v>826</v>
      </c>
      <c r="D26" s="92">
        <v>50</v>
      </c>
      <c r="E26" s="258"/>
      <c r="F26" s="258"/>
      <c r="G26" s="258"/>
      <c r="H26" s="258"/>
      <c r="I26" s="258"/>
    </row>
    <row r="27" spans="1:9" ht="15.75" customHeight="1">
      <c r="A27" s="92" t="s">
        <v>358</v>
      </c>
      <c r="B27" s="92" t="s">
        <v>827</v>
      </c>
      <c r="C27" s="92" t="s">
        <v>828</v>
      </c>
      <c r="D27" s="92">
        <v>100</v>
      </c>
      <c r="E27" s="258"/>
      <c r="F27" s="258"/>
      <c r="G27" s="258"/>
      <c r="H27" s="258"/>
      <c r="I27" s="258"/>
    </row>
    <row r="28" spans="1:9" ht="15.75" customHeight="1">
      <c r="A28" s="92" t="s">
        <v>358</v>
      </c>
      <c r="B28" s="92" t="s">
        <v>829</v>
      </c>
      <c r="C28" s="92" t="s">
        <v>830</v>
      </c>
      <c r="D28" s="92">
        <v>50</v>
      </c>
      <c r="E28" s="258"/>
      <c r="F28" s="258"/>
      <c r="G28" s="258"/>
      <c r="H28" s="258"/>
      <c r="I28" s="258"/>
    </row>
    <row r="29" spans="1:9" ht="13.2">
      <c r="A29" s="92" t="s">
        <v>358</v>
      </c>
      <c r="B29" s="92" t="s">
        <v>831</v>
      </c>
      <c r="C29" s="92" t="s">
        <v>832</v>
      </c>
      <c r="D29" s="92">
        <v>50</v>
      </c>
      <c r="E29" s="258"/>
      <c r="F29" s="258"/>
      <c r="G29" s="258"/>
      <c r="H29" s="258"/>
      <c r="I29" s="258"/>
    </row>
    <row r="30" spans="1:9" ht="13.2">
      <c r="A30" s="92" t="s">
        <v>358</v>
      </c>
      <c r="B30" s="92" t="s">
        <v>833</v>
      </c>
      <c r="C30" s="92" t="s">
        <v>834</v>
      </c>
      <c r="D30" s="92">
        <v>50</v>
      </c>
      <c r="E30" s="258"/>
      <c r="F30" s="258"/>
      <c r="G30" s="258"/>
      <c r="H30" s="258"/>
      <c r="I30" s="258"/>
    </row>
    <row r="31" spans="1:9" ht="13.2">
      <c r="A31" s="92" t="s">
        <v>358</v>
      </c>
      <c r="B31" s="92" t="s">
        <v>837</v>
      </c>
      <c r="C31" s="92" t="s">
        <v>838</v>
      </c>
      <c r="D31" s="92">
        <v>50</v>
      </c>
      <c r="E31" s="258"/>
      <c r="F31" s="258"/>
      <c r="G31" s="258"/>
      <c r="H31" s="258"/>
      <c r="I31" s="258"/>
    </row>
    <row r="32" spans="1:9" ht="13.2">
      <c r="A32" s="92" t="s">
        <v>358</v>
      </c>
      <c r="B32" s="92" t="s">
        <v>839</v>
      </c>
      <c r="C32" s="92" t="s">
        <v>840</v>
      </c>
      <c r="D32" s="92">
        <v>50</v>
      </c>
      <c r="E32" s="258"/>
      <c r="F32" s="258"/>
      <c r="G32" s="258"/>
      <c r="H32" s="258"/>
      <c r="I32" s="258"/>
    </row>
    <row r="33" spans="1:9" ht="13.2">
      <c r="A33" s="92" t="s">
        <v>358</v>
      </c>
      <c r="B33" s="92" t="s">
        <v>841</v>
      </c>
      <c r="C33" s="92" t="s">
        <v>842</v>
      </c>
      <c r="D33" s="92">
        <v>100</v>
      </c>
      <c r="E33" s="258"/>
      <c r="F33" s="258"/>
      <c r="G33" s="258"/>
      <c r="H33" s="258"/>
      <c r="I33" s="258"/>
    </row>
    <row r="34" spans="1:9" ht="13.2">
      <c r="A34" s="92" t="s">
        <v>358</v>
      </c>
      <c r="B34" s="92" t="s">
        <v>843</v>
      </c>
      <c r="C34" s="92" t="s">
        <v>844</v>
      </c>
      <c r="D34" s="92">
        <v>200</v>
      </c>
      <c r="E34" s="258"/>
      <c r="F34" s="258"/>
      <c r="G34" s="258"/>
      <c r="H34" s="258"/>
      <c r="I34" s="258"/>
    </row>
    <row r="35" spans="1:9" ht="13.2">
      <c r="A35" s="92" t="s">
        <v>358</v>
      </c>
      <c r="B35" s="92" t="s">
        <v>845</v>
      </c>
      <c r="C35" s="92" t="s">
        <v>846</v>
      </c>
      <c r="D35" s="92">
        <v>400</v>
      </c>
      <c r="E35" s="258"/>
      <c r="F35" s="258"/>
      <c r="G35" s="258"/>
      <c r="H35" s="258"/>
      <c r="I35" s="258"/>
    </row>
    <row r="36" spans="1:9" ht="13.2">
      <c r="A36" s="92" t="s">
        <v>358</v>
      </c>
      <c r="B36" s="92" t="s">
        <v>847</v>
      </c>
      <c r="C36" s="92" t="s">
        <v>848</v>
      </c>
      <c r="D36" s="92">
        <v>200</v>
      </c>
      <c r="E36" s="258"/>
      <c r="F36" s="258"/>
      <c r="G36" s="258"/>
      <c r="H36" s="258"/>
      <c r="I36" s="258"/>
    </row>
    <row r="37" spans="1:9" ht="13.2">
      <c r="A37" s="92" t="s">
        <v>436</v>
      </c>
      <c r="B37" s="92" t="s">
        <v>849</v>
      </c>
      <c r="C37" s="92" t="s">
        <v>850</v>
      </c>
      <c r="D37" s="92">
        <v>5</v>
      </c>
      <c r="E37" s="258"/>
      <c r="F37" s="258"/>
      <c r="G37" s="258"/>
      <c r="H37" s="258"/>
      <c r="I37" s="258"/>
    </row>
    <row r="39" spans="1:9" ht="13.2">
      <c r="C39" s="284" t="s">
        <v>851</v>
      </c>
      <c r="D39" s="323">
        <v>164.95</v>
      </c>
    </row>
    <row r="40" spans="1:9" ht="13.2">
      <c r="C40" s="284" t="s">
        <v>852</v>
      </c>
      <c r="D40" s="400">
        <f>D39*1.2</f>
        <v>197.93999999999997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workbookViewId="0"/>
  </sheetViews>
  <sheetFormatPr baseColWidth="10" defaultColWidth="14.44140625" defaultRowHeight="15.75" customHeight="1"/>
  <cols>
    <col min="2" max="2" width="47.44140625" customWidth="1"/>
    <col min="6" max="6" width="13.44140625" customWidth="1"/>
    <col min="7" max="7" width="13" customWidth="1"/>
    <col min="8" max="8" width="11.88671875" customWidth="1"/>
  </cols>
  <sheetData>
    <row r="1" spans="1:11" ht="63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3.2">
      <c r="A2" s="248" t="s">
        <v>436</v>
      </c>
      <c r="B2" s="249" t="s">
        <v>437</v>
      </c>
      <c r="C2" s="250"/>
      <c r="D2" s="92" t="s">
        <v>438</v>
      </c>
      <c r="E2" s="248"/>
      <c r="F2" s="251"/>
      <c r="G2" s="248"/>
      <c r="H2" s="248"/>
      <c r="I2" s="248" t="s">
        <v>235</v>
      </c>
      <c r="J2" s="252" t="s">
        <v>439</v>
      </c>
      <c r="K2" s="249"/>
    </row>
    <row r="3" spans="1:11" ht="13.2">
      <c r="A3" s="248" t="s">
        <v>436</v>
      </c>
      <c r="B3" s="249" t="s">
        <v>440</v>
      </c>
      <c r="C3" s="253"/>
      <c r="D3" s="92" t="s">
        <v>438</v>
      </c>
      <c r="E3" s="248"/>
      <c r="F3" s="251"/>
      <c r="G3" s="248"/>
      <c r="I3" s="248" t="s">
        <v>235</v>
      </c>
      <c r="J3" s="252" t="s">
        <v>439</v>
      </c>
      <c r="K3" s="249"/>
    </row>
    <row r="4" spans="1:11" ht="13.2">
      <c r="A4" s="248" t="s">
        <v>436</v>
      </c>
      <c r="B4" s="249" t="s">
        <v>441</v>
      </c>
      <c r="C4" s="254" t="s">
        <v>442</v>
      </c>
      <c r="D4" s="92" t="s">
        <v>438</v>
      </c>
      <c r="E4" s="255"/>
      <c r="F4" s="256"/>
      <c r="G4" s="257"/>
      <c r="H4" s="258"/>
      <c r="I4" s="248" t="s">
        <v>235</v>
      </c>
      <c r="J4" s="252" t="s">
        <v>439</v>
      </c>
      <c r="K4" s="249"/>
    </row>
    <row r="5" spans="1:11" ht="13.2">
      <c r="A5" s="259" t="s">
        <v>443</v>
      </c>
      <c r="B5" s="254" t="s">
        <v>444</v>
      </c>
      <c r="C5" s="260"/>
      <c r="D5" s="254"/>
      <c r="E5" s="254"/>
      <c r="F5" s="254"/>
      <c r="G5" s="261"/>
      <c r="H5" s="258"/>
      <c r="I5" s="254"/>
      <c r="J5" s="262" t="s">
        <v>445</v>
      </c>
      <c r="K5" s="249"/>
    </row>
    <row r="6" spans="1:11" ht="13.2">
      <c r="A6" s="259"/>
      <c r="B6" s="254"/>
      <c r="C6" s="260"/>
      <c r="D6" s="254"/>
      <c r="E6" s="263"/>
      <c r="F6" s="254"/>
      <c r="G6" s="261"/>
      <c r="H6" s="258"/>
      <c r="I6" s="254"/>
      <c r="J6" s="254"/>
      <c r="K6" s="249"/>
    </row>
    <row r="7" spans="1:11" ht="13.2">
      <c r="A7" s="249"/>
      <c r="B7" s="249"/>
      <c r="C7" s="249"/>
      <c r="D7" s="249"/>
      <c r="E7" s="249"/>
      <c r="F7" s="264" t="s">
        <v>446</v>
      </c>
      <c r="G7" s="264"/>
      <c r="H7" s="265"/>
      <c r="I7" s="249"/>
      <c r="J7" s="249"/>
      <c r="K7" s="249"/>
    </row>
    <row r="8" spans="1:11" ht="13.2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3.2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3.2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3.2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8" ht="19.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1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1.88671875" customWidth="1"/>
  </cols>
  <sheetData>
    <row r="1" spans="1:20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20" ht="15.75" customHeight="1">
      <c r="A2" s="248" t="s">
        <v>436</v>
      </c>
      <c r="B2" s="248" t="s">
        <v>447</v>
      </c>
      <c r="C2" s="92" t="s">
        <v>448</v>
      </c>
      <c r="D2" s="248">
        <v>2</v>
      </c>
      <c r="E2" s="248">
        <v>0</v>
      </c>
      <c r="F2" s="251">
        <v>224</v>
      </c>
      <c r="G2" s="251">
        <f t="shared" ref="G2:G3" si="0">F2*(E2+D2)</f>
        <v>448</v>
      </c>
      <c r="H2" s="248"/>
      <c r="I2" s="248" t="s">
        <v>228</v>
      </c>
      <c r="J2" s="248"/>
    </row>
    <row r="3" spans="1:20" ht="15.75" customHeight="1">
      <c r="A3" s="248" t="s">
        <v>436</v>
      </c>
      <c r="B3" s="248" t="s">
        <v>449</v>
      </c>
      <c r="C3" s="266" t="s">
        <v>450</v>
      </c>
      <c r="D3" s="248">
        <v>2</v>
      </c>
      <c r="E3" s="248">
        <v>0</v>
      </c>
      <c r="F3" s="251">
        <v>31.5</v>
      </c>
      <c r="G3" s="251">
        <f t="shared" si="0"/>
        <v>63</v>
      </c>
      <c r="I3" s="248" t="s">
        <v>228</v>
      </c>
      <c r="J3" s="92"/>
      <c r="L3" s="267"/>
      <c r="M3" s="267"/>
      <c r="N3" s="267"/>
      <c r="O3" s="267"/>
      <c r="P3" s="268"/>
    </row>
    <row r="4" spans="1:20" ht="15.75" customHeight="1">
      <c r="A4" s="269" t="s">
        <v>436</v>
      </c>
      <c r="B4" s="270" t="s">
        <v>451</v>
      </c>
      <c r="C4" s="271" t="s">
        <v>452</v>
      </c>
      <c r="D4" s="270">
        <v>2</v>
      </c>
      <c r="E4" s="255">
        <v>0</v>
      </c>
      <c r="F4" s="256">
        <v>21</v>
      </c>
      <c r="G4" s="257">
        <v>42</v>
      </c>
      <c r="H4" s="258"/>
      <c r="I4" s="270" t="s">
        <v>228</v>
      </c>
      <c r="J4" s="270"/>
      <c r="K4" s="249"/>
    </row>
    <row r="5" spans="1:20" ht="15.75" customHeight="1">
      <c r="A5" s="259" t="s">
        <v>436</v>
      </c>
      <c r="B5" s="254" t="s">
        <v>453</v>
      </c>
      <c r="C5" s="260" t="s">
        <v>454</v>
      </c>
      <c r="D5" s="254">
        <v>2</v>
      </c>
      <c r="E5" s="254">
        <v>0</v>
      </c>
      <c r="F5" s="254">
        <v>28</v>
      </c>
      <c r="G5" s="261">
        <v>56</v>
      </c>
      <c r="H5" s="258"/>
      <c r="I5" s="254" t="s">
        <v>228</v>
      </c>
      <c r="J5" s="254"/>
      <c r="K5" s="249"/>
    </row>
    <row r="6" spans="1:20" ht="15.75" customHeight="1">
      <c r="A6" s="259" t="s">
        <v>436</v>
      </c>
      <c r="B6" s="254" t="s">
        <v>453</v>
      </c>
      <c r="C6" s="260" t="s">
        <v>455</v>
      </c>
      <c r="D6" s="254">
        <v>2</v>
      </c>
      <c r="E6" s="263">
        <v>0</v>
      </c>
      <c r="F6" s="254">
        <v>23.1</v>
      </c>
      <c r="G6" s="261">
        <v>46.2</v>
      </c>
      <c r="H6" s="258"/>
      <c r="I6" s="254" t="s">
        <v>228</v>
      </c>
      <c r="J6" s="254"/>
      <c r="K6" s="249"/>
    </row>
    <row r="7" spans="1:20" ht="15.75" customHeight="1">
      <c r="A7" s="249"/>
      <c r="B7" s="249"/>
      <c r="C7" s="249"/>
      <c r="D7" s="249"/>
      <c r="E7" s="249"/>
      <c r="F7" s="264" t="s">
        <v>446</v>
      </c>
      <c r="G7" s="264">
        <v>666.2</v>
      </c>
      <c r="H7" s="265">
        <v>799.44</v>
      </c>
      <c r="I7" s="249"/>
      <c r="J7" s="249"/>
      <c r="K7" s="249"/>
      <c r="N7" s="445" t="s">
        <v>456</v>
      </c>
      <c r="O7" s="440"/>
      <c r="P7" s="440"/>
      <c r="Q7" s="440"/>
      <c r="R7" s="440"/>
      <c r="S7" s="440"/>
      <c r="T7" s="441"/>
    </row>
    <row r="8" spans="1:20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20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20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20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</sheetData>
  <mergeCells count="1">
    <mergeCell ref="N7:T7"/>
  </mergeCells>
  <hyperlinks>
    <hyperlink ref="N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22.6640625" customWidth="1"/>
    <col min="6" max="6" width="13.44140625" customWidth="1"/>
    <col min="7" max="7" width="13" customWidth="1"/>
    <col min="8" max="8" width="10.33203125" customWidth="1"/>
    <col min="11" max="11" width="69.554687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72" t="s">
        <v>457</v>
      </c>
      <c r="B2" s="272" t="s">
        <v>458</v>
      </c>
      <c r="C2" s="249"/>
      <c r="D2" s="272">
        <v>1</v>
      </c>
      <c r="E2" s="272">
        <v>0</v>
      </c>
      <c r="F2" s="272">
        <v>2300</v>
      </c>
      <c r="G2" s="272">
        <v>2300</v>
      </c>
      <c r="H2" s="272">
        <v>2760</v>
      </c>
      <c r="I2" s="273" t="s">
        <v>285</v>
      </c>
      <c r="J2" s="249"/>
      <c r="K2" s="274" t="s">
        <v>459</v>
      </c>
    </row>
    <row r="3" spans="1:11" ht="15.75" customHeight="1">
      <c r="A3" s="272" t="s">
        <v>457</v>
      </c>
      <c r="B3" s="272" t="s">
        <v>460</v>
      </c>
      <c r="C3" s="249"/>
      <c r="D3" s="249"/>
      <c r="E3" s="249"/>
      <c r="F3" s="249"/>
      <c r="G3" s="249"/>
      <c r="H3" s="249"/>
      <c r="I3" s="272" t="s">
        <v>285</v>
      </c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hyperlinks>
    <hyperlink ref="K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2.10937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baseColWidth="10" defaultColWidth="14.44140625" defaultRowHeight="15.75" customHeight="1"/>
  <cols>
    <col min="2" max="2" width="17.109375" customWidth="1"/>
    <col min="6" max="6" width="13.44140625" customWidth="1"/>
    <col min="7" max="7" width="13" customWidth="1"/>
    <col min="8" max="8" width="10.33203125" customWidth="1"/>
  </cols>
  <sheetData>
    <row r="1" spans="1:11" ht="15.75" customHeight="1">
      <c r="A1" s="246" t="s">
        <v>195</v>
      </c>
      <c r="B1" s="246" t="s">
        <v>426</v>
      </c>
      <c r="C1" s="246" t="s">
        <v>427</v>
      </c>
      <c r="D1" s="246" t="s">
        <v>428</v>
      </c>
      <c r="E1" s="246" t="s">
        <v>429</v>
      </c>
      <c r="F1" s="246" t="s">
        <v>430</v>
      </c>
      <c r="G1" s="246" t="s">
        <v>431</v>
      </c>
      <c r="H1" s="247" t="s">
        <v>432</v>
      </c>
      <c r="I1" s="246" t="s">
        <v>433</v>
      </c>
      <c r="J1" s="246" t="s">
        <v>434</v>
      </c>
      <c r="K1" s="246" t="s">
        <v>435</v>
      </c>
    </row>
    <row r="2" spans="1:11" ht="15.75" customHeight="1">
      <c r="A2" s="249"/>
      <c r="B2" s="249"/>
      <c r="C2" s="249"/>
      <c r="D2" s="249"/>
      <c r="E2" s="249"/>
      <c r="F2" s="249"/>
      <c r="G2" s="249"/>
      <c r="H2" s="249"/>
      <c r="I2" s="272" t="s">
        <v>461</v>
      </c>
      <c r="J2" s="249"/>
      <c r="K2" s="249"/>
    </row>
    <row r="3" spans="1:11" ht="15.75" customHeight="1">
      <c r="A3" s="249"/>
      <c r="B3" s="249"/>
      <c r="C3" s="249"/>
      <c r="D3" s="249"/>
      <c r="E3" s="249"/>
      <c r="F3" s="249"/>
      <c r="G3" s="249"/>
      <c r="H3" s="249"/>
      <c r="I3" s="272" t="s">
        <v>461</v>
      </c>
      <c r="J3" s="249"/>
      <c r="K3" s="249"/>
    </row>
    <row r="4" spans="1:11" ht="15.75" customHeight="1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1" ht="15.75" customHeight="1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</row>
    <row r="6" spans="1:11" ht="15.75" customHeight="1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1" ht="15.75" customHeight="1">
      <c r="A7" s="249"/>
      <c r="B7" s="249"/>
      <c r="C7" s="249"/>
      <c r="D7" s="249"/>
      <c r="E7" s="249"/>
      <c r="F7" s="249"/>
      <c r="G7" s="249"/>
      <c r="H7" s="249"/>
      <c r="I7" s="249"/>
      <c r="J7" s="249"/>
      <c r="K7" s="249"/>
    </row>
    <row r="8" spans="1:11" ht="15.75" customHeight="1">
      <c r="A8" s="249"/>
      <c r="B8" s="249"/>
      <c r="C8" s="249"/>
      <c r="D8" s="249"/>
      <c r="E8" s="249"/>
      <c r="F8" s="249"/>
      <c r="G8" s="249"/>
      <c r="H8" s="249"/>
      <c r="I8" s="249"/>
      <c r="J8" s="249"/>
      <c r="K8" s="249"/>
    </row>
    <row r="9" spans="1:11" ht="15.75" customHeight="1">
      <c r="A9" s="249"/>
      <c r="B9" s="249"/>
      <c r="C9" s="249"/>
      <c r="D9" s="249"/>
      <c r="E9" s="249"/>
      <c r="F9" s="249"/>
      <c r="G9" s="249"/>
      <c r="H9" s="249"/>
      <c r="I9" s="249"/>
      <c r="J9" s="249"/>
      <c r="K9" s="249"/>
    </row>
    <row r="10" spans="1:11" ht="15.75" customHeight="1">
      <c r="A10" s="249"/>
      <c r="B10" s="249"/>
      <c r="C10" s="249"/>
      <c r="D10" s="249"/>
      <c r="E10" s="249"/>
      <c r="F10" s="249"/>
      <c r="G10" s="249"/>
      <c r="H10" s="249"/>
      <c r="I10" s="249"/>
      <c r="J10" s="249"/>
      <c r="K10" s="249"/>
    </row>
    <row r="11" spans="1:11" ht="15.75" customHeight="1">
      <c r="A11" s="249"/>
      <c r="B11" s="249"/>
      <c r="C11" s="249"/>
      <c r="D11" s="249"/>
      <c r="E11" s="249"/>
      <c r="F11" s="249"/>
      <c r="G11" s="249"/>
      <c r="H11" s="249"/>
      <c r="I11" s="249"/>
      <c r="J11" s="249"/>
      <c r="K11" s="249"/>
    </row>
    <row r="12" spans="1:11" ht="15.75" customHeigh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Démarche devis</vt:lpstr>
      <vt:lpstr>fournisseurs</vt:lpstr>
      <vt:lpstr>Feuille Bilan</vt:lpstr>
      <vt:lpstr>Feuille PE</vt:lpstr>
      <vt:lpstr>Action karting</vt:lpstr>
      <vt:lpstr>Beringer</vt:lpstr>
      <vt:lpstr>Bery Inox</vt:lpstr>
      <vt:lpstr>Bourgeois SAS</vt:lpstr>
      <vt:lpstr>Drexler</vt:lpstr>
      <vt:lpstr>DTA Fast</vt:lpstr>
      <vt:lpstr>Dunkermotoren</vt:lpstr>
      <vt:lpstr>Emile Maurin</vt:lpstr>
      <vt:lpstr>Farnell</vt:lpstr>
      <vt:lpstr>Formula seven</vt:lpstr>
      <vt:lpstr>FS ATA</vt:lpstr>
      <vt:lpstr>Honda Moto</vt:lpstr>
      <vt:lpstr>HPC</vt:lpstr>
      <vt:lpstr>Innomolds</vt:lpstr>
      <vt:lpstr>Kawazaky</vt:lpstr>
      <vt:lpstr>Knipex</vt:lpstr>
      <vt:lpstr>K-nuts</vt:lpstr>
      <vt:lpstr>Leroy Merlin</vt:lpstr>
      <vt:lpstr>Mateduc Composites</vt:lpstr>
      <vt:lpstr>Maxxess</vt:lpstr>
      <vt:lpstr>Michaud Chailly</vt:lpstr>
      <vt:lpstr>Mouser</vt:lpstr>
      <vt:lpstr>Namrick</vt:lpstr>
      <vt:lpstr>NOTES DE FRAIS</vt:lpstr>
      <vt:lpstr>Ohlins</vt:lpstr>
      <vt:lpstr>Radiosoudure</vt:lpstr>
      <vt:lpstr>Oscaro</vt:lpstr>
      <vt:lpstr>RCV Performance</vt:lpstr>
      <vt:lpstr>Reverchon</vt:lpstr>
      <vt:lpstr>Reverchon 2</vt:lpstr>
      <vt:lpstr>RS Component</vt:lpstr>
      <vt:lpstr>S2MA</vt:lpstr>
      <vt:lpstr>SKF</vt:lpstr>
      <vt:lpstr>Solutions Elastomères</vt:lpstr>
      <vt:lpstr>Surplus moto</vt:lpstr>
      <vt:lpstr>TDI Fasteners</vt:lpstr>
      <vt:lpstr>Texense</vt:lpstr>
      <vt:lpstr>Toumétal</vt:lpstr>
      <vt:lpstr>Watterott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Aurélien</cp:lastModifiedBy>
  <dcterms:modified xsi:type="dcterms:W3CDTF">2019-06-21T16:57:14Z</dcterms:modified>
</cp:coreProperties>
</file>