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5\Documents\02-Etudes\2019-ECL\Trans Semestres\01-EPSA\03-Trans Saisons\Git\ELIZ-2021\CR_Cost_Report\01_BOM\00_Cost_Report_Document\"/>
    </mc:Choice>
  </mc:AlternateContent>
  <xr:revisionPtr revIDLastSave="0" documentId="13_ncr:1_{E91057A9-CD8F-4A38-978F-DCD4045118AB}" xr6:coauthVersionLast="47" xr6:coauthVersionMax="47" xr10:uidLastSave="{00000000-0000-0000-0000-000000000000}"/>
  <bookViews>
    <workbookView xWindow="-120" yWindow="-120" windowWidth="29040" windowHeight="15840" tabRatio="667" firstSheet="5" activeTab="6" xr2:uid="{00000000-000D-0000-FFFF-FFFF00000000}"/>
  </bookViews>
  <sheets>
    <sheet name="Summary" sheetId="6" r:id="rId1"/>
    <sheet name="Manpower &amp; time" sheetId="11" r:id="rId2"/>
    <sheet name="Energies" sheetId="13" r:id="rId3"/>
    <sheet name="IT&amp;Office" sheetId="9" r:id="rId4"/>
    <sheet name="Manufacturing" sheetId="8" r:id="rId5"/>
    <sheet name="Metrology" sheetId="12" r:id="rId6"/>
    <sheet name="Welding" sheetId="10" r:id="rId7"/>
    <sheet name="Cutting" sheetId="17" r:id="rId8"/>
    <sheet name="Machining" sheetId="19" r:id="rId9"/>
    <sheet name="CNC mill" sheetId="3" r:id="rId10"/>
    <sheet name="CNC lathe" sheetId="4" r:id="rId11"/>
    <sheet name="Laser cutter" sheetId="5" r:id="rId12"/>
    <sheet name="Conventionnal machinning" sheetId="15" r:id="rId13"/>
    <sheet name="Frame tubes" sheetId="16" r:id="rId14"/>
    <sheet name="Body" sheetId="18" r:id="rId15"/>
    <sheet name="Material" sheetId="2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0" l="1"/>
  <c r="D10" i="6"/>
  <c r="F10" i="16"/>
  <c r="F6" i="13"/>
  <c r="F5" i="13"/>
  <c r="F3" i="13"/>
  <c r="E4" i="13"/>
  <c r="E5" i="13" s="1"/>
  <c r="F7" i="13"/>
  <c r="C5" i="16"/>
  <c r="C4" i="16"/>
  <c r="F10" i="8"/>
  <c r="F12" i="8"/>
  <c r="F13" i="8"/>
  <c r="F14" i="8"/>
  <c r="F15" i="8"/>
  <c r="F16" i="8"/>
  <c r="F17" i="8"/>
  <c r="F18" i="8"/>
  <c r="F19" i="8"/>
  <c r="F20" i="8"/>
  <c r="F21" i="8"/>
  <c r="F22" i="8"/>
  <c r="F24" i="8"/>
  <c r="E11" i="8"/>
  <c r="F11" i="8" s="1"/>
  <c r="F4" i="8"/>
  <c r="F5" i="8"/>
  <c r="F6" i="8"/>
  <c r="F7" i="8"/>
  <c r="F8" i="8"/>
  <c r="F9" i="8"/>
  <c r="F3" i="8"/>
  <c r="D18" i="18"/>
  <c r="D17" i="18"/>
  <c r="D12" i="18"/>
  <c r="D11" i="18"/>
  <c r="D10" i="18"/>
  <c r="D9" i="18"/>
  <c r="D8" i="18"/>
  <c r="D7" i="18"/>
  <c r="D6" i="18"/>
  <c r="D5" i="18"/>
  <c r="D4" i="18"/>
  <c r="G23" i="9" l="1"/>
  <c r="H23" i="9" s="1"/>
  <c r="G24" i="9"/>
  <c r="H24" i="9" s="1"/>
  <c r="G25" i="9"/>
  <c r="H25" i="9" s="1"/>
  <c r="G26" i="9"/>
  <c r="H26" i="9" s="1"/>
  <c r="G27" i="9"/>
  <c r="H27" i="9" s="1"/>
  <c r="G28" i="9"/>
  <c r="H28" i="9" s="1"/>
  <c r="G29" i="9"/>
  <c r="H29" i="9" s="1"/>
  <c r="F17" i="9"/>
  <c r="G17" i="9" s="1"/>
  <c r="H17" i="9" s="1"/>
  <c r="I15" i="6" s="1"/>
  <c r="K15" i="6" s="1"/>
  <c r="H16" i="9"/>
  <c r="H15" i="9"/>
  <c r="H14" i="9"/>
  <c r="H13" i="9"/>
  <c r="H12" i="9"/>
  <c r="H10" i="9"/>
  <c r="H11" i="9"/>
  <c r="H3" i="9"/>
  <c r="G19" i="9"/>
  <c r="H19" i="9" s="1"/>
  <c r="G18" i="9"/>
  <c r="H18" i="9" s="1"/>
  <c r="F14" i="9"/>
  <c r="F15" i="9"/>
  <c r="F16" i="9"/>
  <c r="F13" i="9"/>
  <c r="F11" i="9"/>
  <c r="F12" i="9"/>
  <c r="G9" i="9"/>
  <c r="H9" i="9" s="1"/>
  <c r="H6" i="9"/>
  <c r="G8" i="9"/>
  <c r="H8" i="9" s="1"/>
  <c r="H7" i="9"/>
  <c r="H5" i="9"/>
  <c r="I12" i="6" s="1"/>
  <c r="F6" i="9"/>
  <c r="F7" i="9"/>
  <c r="F5" i="9"/>
  <c r="F3" i="9"/>
  <c r="G4" i="9"/>
  <c r="H4" i="9" s="1"/>
  <c r="E18" i="12"/>
  <c r="E19" i="12"/>
  <c r="D19" i="12"/>
  <c r="D18" i="12"/>
  <c r="I14" i="6" l="1"/>
  <c r="K14" i="6" s="1"/>
  <c r="I18" i="6"/>
  <c r="I13" i="6"/>
  <c r="K13" i="6" s="1"/>
  <c r="I16" i="6"/>
  <c r="K16" i="6" s="1"/>
  <c r="I11" i="6"/>
  <c r="K11" i="6" s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3" i="12"/>
  <c r="D30" i="17"/>
  <c r="D26" i="17"/>
  <c r="D27" i="17" s="1"/>
  <c r="D18" i="17"/>
  <c r="D20" i="17" s="1"/>
  <c r="E11" i="17"/>
  <c r="D11" i="17" s="1"/>
  <c r="E10" i="17"/>
  <c r="D10" i="17"/>
  <c r="D9" i="17"/>
  <c r="D8" i="17"/>
  <c r="D7" i="17"/>
  <c r="D6" i="17"/>
  <c r="D5" i="17"/>
  <c r="E4" i="17"/>
  <c r="D4" i="17"/>
  <c r="C11" i="16"/>
  <c r="F4" i="16"/>
  <c r="F5" i="16"/>
  <c r="F6" i="16"/>
  <c r="F7" i="16"/>
  <c r="F8" i="16"/>
  <c r="F3" i="16"/>
  <c r="D26" i="10"/>
  <c r="D27" i="10" s="1"/>
  <c r="I32" i="6" l="1"/>
  <c r="K32" i="6" s="1"/>
  <c r="I34" i="6"/>
  <c r="D18" i="10"/>
  <c r="D20" i="10" s="1"/>
  <c r="E10" i="10"/>
  <c r="D10" i="10" s="1"/>
  <c r="E11" i="10"/>
  <c r="D11" i="10" s="1"/>
  <c r="E4" i="10"/>
  <c r="D4" i="10" s="1"/>
  <c r="D5" i="10"/>
  <c r="D6" i="10"/>
  <c r="D7" i="10"/>
  <c r="D8" i="10"/>
  <c r="D9" i="10"/>
  <c r="E16" i="11"/>
  <c r="D15" i="11"/>
  <c r="E15" i="11" s="1"/>
  <c r="D18" i="11"/>
  <c r="E18" i="11" s="1"/>
  <c r="D17" i="11"/>
  <c r="E17" i="11" s="1"/>
  <c r="D15" i="6"/>
  <c r="D14" i="6"/>
  <c r="D5" i="6"/>
  <c r="D6" i="6" l="1"/>
  <c r="C42" i="11"/>
  <c r="D4" i="6"/>
  <c r="G18" i="11"/>
  <c r="D8" i="6"/>
  <c r="D7" i="6"/>
  <c r="D13" i="6" l="1"/>
  <c r="R42" i="6" l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D61" i="2"/>
  <c r="Q22" i="2"/>
  <c r="E16" i="2"/>
  <c r="Q11" i="2"/>
  <c r="E28" i="2"/>
  <c r="W7" i="2"/>
  <c r="K37" i="2"/>
  <c r="R39" i="2"/>
  <c r="J12" i="2"/>
  <c r="E40" i="2"/>
  <c r="D62" i="2"/>
  <c r="I31" i="6" l="1"/>
  <c r="E23" i="8"/>
  <c r="I21" i="6" l="1"/>
  <c r="K21" i="6" s="1"/>
  <c r="F23" i="8"/>
  <c r="N50" i="6"/>
  <c r="J14" i="5"/>
  <c r="N84" i="6" s="1"/>
  <c r="N38" i="6" l="1"/>
  <c r="L35" i="11"/>
  <c r="F17" i="11" s="1"/>
  <c r="G17" i="11" s="1"/>
  <c r="R47" i="6"/>
  <c r="T47" i="6" s="1"/>
  <c r="R46" i="6"/>
  <c r="T46" i="6" s="1"/>
  <c r="N39" i="6"/>
  <c r="R49" i="6" l="1"/>
  <c r="T49" i="6" s="1"/>
  <c r="R43" i="6" l="1"/>
  <c r="R44" i="6"/>
  <c r="R45" i="6"/>
  <c r="R7" i="5" l="1"/>
  <c r="G5" i="5"/>
  <c r="R27" i="6" s="1"/>
  <c r="S5" i="5"/>
  <c r="R5" i="5"/>
  <c r="R8" i="5" l="1"/>
  <c r="I10" i="6"/>
  <c r="K31" i="6"/>
  <c r="I20" i="6"/>
  <c r="K20" i="6" s="1"/>
  <c r="I28" i="6" l="1"/>
  <c r="K28" i="6" s="1"/>
  <c r="I26" i="6"/>
  <c r="K26" i="6" s="1"/>
  <c r="K25" i="6"/>
  <c r="K24" i="6"/>
  <c r="I29" i="6" l="1"/>
  <c r="B2" i="4"/>
  <c r="R12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R20" i="6" s="1"/>
  <c r="R21" i="6" l="1"/>
  <c r="T21" i="6" s="1"/>
  <c r="T20" i="6"/>
  <c r="F13" i="4"/>
  <c r="F14" i="4"/>
  <c r="R18" i="6" s="1"/>
  <c r="T18" i="6" s="1"/>
  <c r="F12" i="4"/>
  <c r="E12" i="4"/>
  <c r="R14" i="6"/>
  <c r="T14" i="6" s="1"/>
  <c r="B7" i="4"/>
  <c r="R13" i="6" s="1"/>
  <c r="T13" i="6" s="1"/>
  <c r="T12" i="6"/>
  <c r="N14" i="6"/>
  <c r="N16" i="6"/>
  <c r="R15" i="6"/>
  <c r="T15" i="6" s="1"/>
  <c r="N18" i="6" l="1"/>
  <c r="N17" i="6"/>
  <c r="S82" i="6"/>
  <c r="S68" i="6"/>
  <c r="I27" i="6" l="1"/>
  <c r="N6" i="6" l="1"/>
  <c r="L34" i="11" l="1"/>
  <c r="F16" i="11" s="1"/>
  <c r="F19" i="11" s="1"/>
  <c r="L33" i="11"/>
  <c r="F15" i="11" s="1"/>
  <c r="G15" i="11" s="1"/>
  <c r="G19" i="11" s="1"/>
  <c r="I6" i="6" s="1"/>
  <c r="N8" i="6"/>
  <c r="I8" i="6" l="1"/>
  <c r="K8" i="6" s="1"/>
  <c r="I7" i="6"/>
  <c r="K7" i="6" s="1"/>
  <c r="N9" i="6"/>
  <c r="N10" i="6"/>
  <c r="R38" i="6"/>
  <c r="T38" i="6" s="1"/>
  <c r="R39" i="6"/>
  <c r="T39" i="6" s="1"/>
  <c r="R37" i="6"/>
  <c r="T37" i="6" s="1"/>
  <c r="R36" i="6"/>
  <c r="T36" i="6" s="1"/>
  <c r="I38" i="6"/>
  <c r="K38" i="6" s="1"/>
  <c r="I35" i="6"/>
  <c r="K35" i="6" s="1"/>
  <c r="R40" i="6"/>
  <c r="T40" i="6" s="1"/>
  <c r="E29" i="3"/>
  <c r="F29" i="3" s="1"/>
  <c r="K27" i="6"/>
  <c r="R6" i="6"/>
  <c r="R5" i="6"/>
  <c r="T5" i="6" s="1"/>
  <c r="K10" i="6"/>
  <c r="K29" i="6"/>
  <c r="K18" i="6"/>
  <c r="K17" i="6"/>
  <c r="B22" i="3"/>
  <c r="R4" i="6" s="1"/>
  <c r="B2" i="3"/>
  <c r="T6" i="6" l="1"/>
  <c r="R48" i="6"/>
  <c r="T48" i="6" s="1"/>
  <c r="S101" i="6" s="1"/>
  <c r="I19" i="6"/>
  <c r="K19" i="6" s="1"/>
  <c r="K6" i="6"/>
  <c r="F31" i="3"/>
  <c r="R41" i="6"/>
  <c r="T41" i="6" s="1"/>
  <c r="S94" i="6" s="1"/>
  <c r="R7" i="6"/>
  <c r="T7" i="6" s="1"/>
  <c r="T4" i="6"/>
  <c r="F30" i="3"/>
  <c r="K12" i="6"/>
  <c r="C27" i="11"/>
  <c r="I4" i="6"/>
  <c r="K4" i="6" s="1"/>
  <c r="E17" i="12" l="1"/>
  <c r="I37" i="6" s="1"/>
  <c r="K37" i="6" s="1"/>
  <c r="C28" i="11"/>
  <c r="C29" i="11"/>
  <c r="H16" i="11" s="1"/>
  <c r="R23" i="6"/>
  <c r="R50" i="6"/>
  <c r="R10" i="6"/>
  <c r="T10" i="6" s="1"/>
  <c r="S54" i="6" s="1"/>
  <c r="R16" i="6"/>
  <c r="R8" i="6"/>
  <c r="I5" i="6"/>
  <c r="K5" i="6" s="1"/>
  <c r="K34" i="6"/>
  <c r="I36" i="6"/>
  <c r="K36" i="6" s="1"/>
  <c r="I33" i="6"/>
  <c r="K33" i="6" s="1"/>
  <c r="H17" i="11" l="1"/>
  <c r="H15" i="11"/>
  <c r="H18" i="11"/>
  <c r="I30" i="6"/>
  <c r="K30" i="6" s="1"/>
  <c r="C38" i="11"/>
  <c r="F38" i="11"/>
  <c r="G38" i="11"/>
  <c r="D38" i="11"/>
  <c r="E38" i="11"/>
  <c r="I9" i="6"/>
  <c r="K9" i="6" s="1"/>
  <c r="K38" i="11"/>
  <c r="H38" i="11"/>
  <c r="K45" i="6"/>
  <c r="J37" i="11"/>
  <c r="E37" i="11"/>
  <c r="L36" i="11" s="1"/>
  <c r="G37" i="11"/>
  <c r="K37" i="11"/>
  <c r="H37" i="11"/>
  <c r="D37" i="11"/>
  <c r="C37" i="11"/>
  <c r="F37" i="11"/>
  <c r="I37" i="11"/>
  <c r="J38" i="11" l="1"/>
  <c r="D32" i="10"/>
  <c r="D34" i="10" s="1"/>
  <c r="D31" i="17"/>
  <c r="D32" i="17" s="1"/>
  <c r="D34" i="17" s="1"/>
  <c r="I38" i="11"/>
  <c r="K44" i="6"/>
  <c r="K43" i="6"/>
  <c r="K46" i="6"/>
  <c r="L37" i="11"/>
  <c r="L38" i="11" l="1"/>
  <c r="I22" i="6" l="1"/>
  <c r="I23" i="6" l="1"/>
  <c r="K23" i="6" s="1"/>
  <c r="K22" i="6"/>
  <c r="K41" i="6" s="1"/>
  <c r="K42" i="6" s="1"/>
  <c r="S61" i="6" l="1"/>
  <c r="S76" i="6"/>
  <c r="S79" i="6"/>
  <c r="S83" i="6"/>
  <c r="S78" i="6"/>
  <c r="S63" i="6"/>
  <c r="S90" i="6"/>
  <c r="S55" i="6"/>
  <c r="S91" i="6"/>
  <c r="S64" i="6"/>
  <c r="S95" i="6"/>
  <c r="S96" i="6" s="1"/>
  <c r="S92" i="6"/>
  <c r="S77" i="6"/>
  <c r="S62" i="6"/>
  <c r="S75" i="6"/>
  <c r="S80" i="6"/>
  <c r="S89" i="6"/>
  <c r="S69" i="6"/>
  <c r="S102" i="6"/>
  <c r="S66" i="6"/>
  <c r="S65" i="6"/>
  <c r="S106" i="6" l="1"/>
  <c r="S103" i="6"/>
  <c r="S105" i="6" s="1"/>
  <c r="S67" i="6"/>
  <c r="S56" i="6"/>
  <c r="S58" i="6" s="1"/>
  <c r="S59" i="6" s="1"/>
  <c r="S98" i="6"/>
  <c r="S99" i="6"/>
  <c r="S70" i="6"/>
  <c r="S72" i="6" s="1"/>
  <c r="S73" i="6" s="1"/>
  <c r="S81" i="6"/>
  <c r="S93" i="6"/>
  <c r="S84" i="6"/>
  <c r="S86" i="6" s="1"/>
  <c r="S8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Am</author>
  </authors>
  <commentList>
    <comment ref="B3" authorId="0" shapeId="0" xr:uid="{43CE24F2-8037-45FD-8E56-05C16C3F5F59}">
      <text>
        <r>
          <rPr>
            <b/>
            <sz val="9"/>
            <color indexed="81"/>
            <rFont val="Tahoma"/>
            <charset val="1"/>
          </rPr>
          <t>Louise Am:</t>
        </r>
        <r>
          <rPr>
            <sz val="9"/>
            <color indexed="81"/>
            <rFont val="Tahoma"/>
            <charset val="1"/>
          </rPr>
          <t xml:space="preserve">
Demander à Boisard</t>
        </r>
      </text>
    </comment>
    <comment ref="B4" authorId="0" shapeId="0" xr:uid="{DE19AA21-248F-4D50-88CF-E4A94A7CDEB2}">
      <text>
        <r>
          <rPr>
            <b/>
            <sz val="9"/>
            <color indexed="81"/>
            <rFont val="Tahoma"/>
            <charset val="1"/>
          </rPr>
          <t>Louise Am:</t>
        </r>
        <r>
          <rPr>
            <sz val="9"/>
            <color indexed="81"/>
            <rFont val="Tahoma"/>
            <charset val="1"/>
          </rPr>
          <t xml:space="preserve">
Boisard
</t>
        </r>
      </text>
    </comment>
  </commentList>
</comments>
</file>

<file path=xl/sharedStrings.xml><?xml version="1.0" encoding="utf-8"?>
<sst xmlns="http://schemas.openxmlformats.org/spreadsheetml/2006/main" count="996" uniqueCount="645">
  <si>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</si>
  <si>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</si>
  <si>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</si>
  <si>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</si>
  <si>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</si>
  <si>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</si>
  <si>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</si>
  <si>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</si>
  <si>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</si>
  <si>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</si>
  <si>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</si>
  <si>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</si>
  <si>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</si>
  <si>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</si>
  <si>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</si>
  <si>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</si>
  <si>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</si>
  <si>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</si>
  <si>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</si>
  <si>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</si>
  <si>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</si>
  <si>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</si>
  <si>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</si>
  <si>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</si>
  <si>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</si>
  <si>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</si>
  <si>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</si>
  <si>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</si>
  <si>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</si>
  <si>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</si>
  <si>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</si>
  <si>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</si>
  <si>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</si>
  <si>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</si>
  <si>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</si>
  <si>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</si>
  <si>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</si>
  <si>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</si>
  <si>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</si>
  <si>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</si>
  <si>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Technician</t>
  </si>
  <si>
    <t>Engineer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</si>
  <si>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</si>
  <si>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</si>
  <si>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</si>
  <si>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</si>
  <si>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</si>
  <si>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</si>
  <si>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</si>
  <si>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</si>
  <si>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</si>
  <si>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</si>
  <si>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</si>
  <si>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</si>
  <si>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</si>
  <si>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</si>
  <si>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</si>
  <si>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</si>
  <si>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</si>
  <si>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</si>
  <si>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</si>
  <si>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</si>
  <si>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</si>
  <si>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</si>
  <si>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</si>
  <si>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</si>
  <si>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</si>
  <si>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</si>
  <si>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</si>
  <si>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</si>
  <si>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</si>
  <si>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</si>
  <si>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</si>
  <si>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</si>
  <si>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</si>
  <si>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</si>
  <si>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</si>
  <si>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</si>
  <si>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</si>
  <si>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</si>
  <si>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</si>
  <si>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</si>
  <si>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</si>
  <si>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</si>
  <si>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</si>
  <si>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</si>
  <si>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</si>
  <si>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</si>
  <si>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</si>
  <si>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</si>
  <si>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</si>
  <si>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</si>
  <si>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</si>
  <si>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</si>
  <si>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</si>
  <si>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</si>
  <si>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</si>
  <si>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</si>
  <si>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</si>
  <si>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</si>
  <si>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</si>
  <si>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</si>
  <si>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</si>
  <si>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</si>
  <si>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</si>
  <si>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</si>
  <si>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</si>
  <si>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</si>
  <si>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</si>
  <si>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</si>
  <si>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</si>
  <si>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</si>
  <si>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</si>
  <si>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</si>
  <si>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</si>
  <si>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</si>
  <si>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</si>
  <si>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</si>
  <si>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</si>
  <si>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</si>
  <si>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</si>
  <si>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</si>
  <si>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</si>
  <si>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</si>
  <si>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</si>
  <si>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</si>
  <si>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</si>
  <si>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</si>
  <si>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</si>
  <si>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</si>
  <si>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</si>
  <si>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</si>
  <si>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</si>
  <si>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</si>
  <si>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</si>
  <si>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</si>
  <si>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</si>
  <si>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</si>
  <si>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</si>
  <si>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</si>
  <si>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</si>
  <si>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</si>
  <si>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</si>
  <si>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</si>
  <si>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</si>
  <si>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</si>
  <si>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</si>
  <si>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</si>
  <si>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</si>
  <si>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</si>
  <si>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</si>
  <si>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</si>
  <si>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</si>
  <si>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</si>
  <si>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</si>
  <si>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</si>
  <si>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</si>
  <si>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</si>
  <si>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</si>
  <si>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</si>
  <si>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</si>
  <si>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</si>
  <si>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HT</t>
  </si>
  <si>
    <t>/month/user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</si>
  <si>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</si>
  <si>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</si>
  <si>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</si>
  <si>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</si>
  <si>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</si>
  <si>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</si>
  <si>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</si>
  <si>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</si>
  <si>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</si>
  <si>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</si>
  <si>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</si>
  <si>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</si>
  <si>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</si>
  <si>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</si>
  <si>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</si>
  <si>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</si>
  <si>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</si>
  <si>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</si>
  <si>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</si>
  <si>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</si>
  <si>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</si>
  <si>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</si>
  <si>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</si>
  <si>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</si>
  <si>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</si>
  <si>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</si>
  <si>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</si>
  <si>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</si>
  <si>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</si>
  <si>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</si>
  <si>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</si>
  <si>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</si>
  <si>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</si>
  <si>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</si>
  <si>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</si>
  <si>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</si>
  <si>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</si>
  <si>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</si>
  <si>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</si>
  <si>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</si>
  <si>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</si>
  <si>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</si>
  <si>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</si>
  <si>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</si>
  <si>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</si>
  <si>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</si>
  <si>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</si>
  <si>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</si>
  <si>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</si>
  <si>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</si>
  <si>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</si>
  <si>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</si>
  <si>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</si>
  <si>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</si>
  <si>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</si>
  <si>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</si>
  <si>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</si>
  <si>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</si>
  <si>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</si>
  <si>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</si>
  <si>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</si>
  <si>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</si>
  <si>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</si>
  <si>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</si>
  <si>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</si>
  <si>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 xml:space="preserve">Shopfloor allocation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</si>
  <si>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</si>
  <si>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</si>
  <si>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</si>
  <si>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</si>
  <si>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</si>
  <si>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</si>
  <si>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</si>
  <si>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</si>
  <si>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</si>
  <si>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</si>
  <si>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</si>
  <si>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</si>
  <si>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</si>
  <si>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</si>
  <si>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</si>
  <si>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</si>
  <si>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</si>
  <si>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</si>
  <si>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</si>
  <si>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</si>
  <si>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</si>
  <si>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 xml:space="preserve"> Cost of Setup + cleaning</t>
  </si>
  <si>
    <t>Yearly fixed cost of machine</t>
  </si>
  <si>
    <t>Fixed cost of machine / hour</t>
  </si>
  <si>
    <t>Cost of machine/hour running</t>
  </si>
  <si>
    <t>https://www.francebureau.com/media/catalogue-mobilier/bureau-modulaire-kibo.pdf</t>
  </si>
  <si>
    <t xml:space="preserve">Angle worktable </t>
  </si>
  <si>
    <t>Drawer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</si>
  <si>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</si>
  <si>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</si>
  <si>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</si>
  <si>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</si>
  <si>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</si>
  <si>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</si>
  <si>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</si>
  <si>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</si>
  <si>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</si>
  <si>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</si>
  <si>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</si>
  <si>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</si>
  <si>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</si>
  <si>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</si>
  <si>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</si>
  <si>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</si>
  <si>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</si>
  <si>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</si>
  <si>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</si>
  <si>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</si>
  <si>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</si>
  <si>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</si>
  <si>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</si>
  <si>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</si>
  <si>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</si>
  <si>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</si>
  <si>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</si>
  <si>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</si>
  <si>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</si>
  <si>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</si>
  <si>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</si>
  <si>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</si>
  <si>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</si>
  <si>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</si>
  <si>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</si>
  <si>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</si>
  <si>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</si>
  <si>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</si>
  <si>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</si>
  <si>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</si>
  <si>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</si>
  <si>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</si>
  <si>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</si>
  <si>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</si>
  <si>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</si>
  <si>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</si>
  <si>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</si>
  <si>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</si>
  <si>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</si>
  <si>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</si>
  <si>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</si>
  <si>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</si>
  <si>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</si>
  <si>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</si>
  <si>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</si>
  <si>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</si>
  <si>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</si>
  <si>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</si>
  <si>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</si>
  <si>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</si>
  <si>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</si>
  <si>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</si>
  <si>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</si>
  <si>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</si>
  <si>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</si>
  <si>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</si>
  <si>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</si>
  <si>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</si>
  <si>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</si>
  <si>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</si>
  <si>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</si>
  <si>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</si>
  <si>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</si>
  <si>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</si>
  <si>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</si>
  <si>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</si>
  <si>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</si>
  <si>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</si>
  <si>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</si>
  <si>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</si>
  <si>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</si>
  <si>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</si>
  <si>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</si>
  <si>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</si>
  <si>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</si>
  <si>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</si>
  <si>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</si>
  <si>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</si>
  <si>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</si>
  <si>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</si>
  <si>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</si>
  <si>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</si>
  <si>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</si>
  <si>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</si>
  <si>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</si>
  <si>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</si>
  <si>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</si>
  <si>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</si>
  <si>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</si>
  <si>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</si>
  <si>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</si>
  <si>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</si>
  <si>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</si>
  <si>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</si>
  <si>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</si>
  <si>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</si>
  <si>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</si>
  <si>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</si>
  <si>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</si>
  <si>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</si>
  <si>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</si>
  <si>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</si>
  <si>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</si>
  <si>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</si>
  <si>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</si>
  <si>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</si>
  <si>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</si>
  <si>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</si>
  <si>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</si>
  <si>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</si>
  <si>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>Consumption for exhaust system (unity = bottles)</t>
  </si>
  <si>
    <t>Lenght of welding for exhaust system (m)</t>
  </si>
  <si>
    <t>Price (€/m)</t>
  </si>
  <si>
    <t>Price (€/kg, HT)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</si>
  <si>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</si>
  <si>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</si>
  <si>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</si>
  <si>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</si>
  <si>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</si>
  <si>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</si>
  <si>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</si>
  <si>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</si>
  <si>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</si>
  <si>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</si>
  <si>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</si>
  <si>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</si>
  <si>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</si>
  <si>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</si>
  <si>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</si>
  <si>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</si>
  <si>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</si>
  <si>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</si>
  <si>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</si>
  <si>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</si>
  <si>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</si>
  <si>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</si>
  <si>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</si>
  <si>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</si>
  <si>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</si>
  <si>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</si>
  <si>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</si>
  <si>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</si>
  <si>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</si>
  <si>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</si>
  <si>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</si>
  <si>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</si>
  <si>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</si>
  <si>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</si>
  <si>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</si>
  <si>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</si>
  <si>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</si>
  <si>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</si>
  <si>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</si>
  <si>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</si>
  <si>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</si>
  <si>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</si>
  <si>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cost/hour</t>
  </si>
  <si>
    <t>Manwork availability (95%) /year (hrs)</t>
  </si>
  <si>
    <t>Fixed cost (5% of the time)</t>
  </si>
  <si>
    <t>Tool holders and fixtures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</si>
  <si>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</si>
  <si>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</si>
  <si>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</si>
  <si>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</si>
  <si>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</si>
  <si>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</si>
  <si>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</si>
  <si>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</si>
  <si>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</si>
  <si>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</si>
  <si>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</si>
  <si>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</si>
  <si>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</si>
  <si>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</si>
  <si>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</si>
  <si>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</si>
  <si>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</si>
  <si>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</si>
  <si>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</si>
  <si>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</si>
  <si>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</si>
  <si>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</si>
  <si>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</si>
  <si>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</si>
  <si>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</si>
  <si>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</si>
  <si>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</si>
  <si>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</si>
  <si>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</si>
  <si>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</si>
  <si>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</si>
  <si>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</si>
  <si>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</si>
  <si>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</si>
  <si>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</si>
  <si>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</si>
  <si>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</si>
  <si>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</si>
  <si>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</si>
  <si>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</si>
  <si>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</si>
  <si>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</si>
  <si>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</si>
  <si>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</si>
  <si>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</si>
  <si>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</si>
  <si>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</si>
  <si>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</si>
  <si>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</si>
  <si>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</si>
  <si>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</si>
  <si>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</si>
  <si>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</si>
  <si>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Price (€)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</si>
  <si>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</si>
  <si>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</si>
  <si>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</si>
  <si>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</si>
  <si>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</si>
  <si>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</si>
  <si>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</si>
  <si>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</si>
  <si>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</si>
  <si>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</si>
  <si>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</si>
  <si>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</si>
  <si>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</si>
  <si>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</si>
  <si>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</si>
  <si>
    <t>Minimal Wage in France</t>
  </si>
  <si>
    <t xml:space="preserve">https://travail-emploi.gouv.fr/droit-du-travail/la-remuneration/article/le-smic-montants-en-vigueur-a-compter-du-1er-janvier-2021 </t>
  </si>
  <si>
    <t>Wage cost calculation for the company</t>
  </si>
  <si>
    <t>https://www.service-public.fr/professionnels-entreprises/vosdroits/services-en-ligne-et-formulaires/simulateur-cout-embauche</t>
  </si>
  <si>
    <t>French labour law impose this minimal rate to earn the min wage</t>
  </si>
  <si>
    <t>Total of week per year without, holiday, bank  holiday…</t>
  </si>
  <si>
    <t>It is a prototyping company, soit does not run nonstop. 
6%: maintenance and cleaning of shop floor</t>
  </si>
  <si>
    <t xml:space="preserve">People cannot be working nonstop. </t>
  </si>
  <si>
    <t xml:space="preserve">VAT </t>
  </si>
  <si>
    <t>Euro to Dollar Rate</t>
  </si>
  <si>
    <t>Administrative Workforce</t>
  </si>
  <si>
    <t>Operative Workforce</t>
  </si>
  <si>
    <t>French VAT</t>
  </si>
  <si>
    <t>The 13/05/2021 rate</t>
  </si>
  <si>
    <t>Welder Wages in France</t>
  </si>
  <si>
    <t>https://www.reconversionprofessionnelle.org/salaire-soudeur/</t>
  </si>
  <si>
    <t>Power of Machinery</t>
  </si>
  <si>
    <t>Machine 1</t>
  </si>
  <si>
    <t>Name of Machine</t>
  </si>
  <si>
    <t>Source / reference</t>
  </si>
  <si>
    <t>Power</t>
  </si>
  <si>
    <t>Documentation Sources</t>
  </si>
  <si>
    <t>Manpower Cost</t>
  </si>
  <si>
    <t>Staffing</t>
  </si>
  <si>
    <t>Yearly wage cost for the company (total)</t>
  </si>
  <si>
    <t>Welder</t>
  </si>
  <si>
    <t>Sales/Administratives</t>
  </si>
  <si>
    <t xml:space="preserve">Grades in automobile sector </t>
  </si>
  <si>
    <t>https://www.services-automobile.fr/sites/default/files/2018-04/Convention%20collective%20-%20Chapitre%20III.pdf</t>
  </si>
  <si>
    <t>Engineer - Grade II</t>
  </si>
  <si>
    <t>https://www.services-automobile.fr/sites/default/files/2018-04/Convention%20collective%20-%20Chapitre%20V.pdf</t>
  </si>
  <si>
    <t>https://www.services-automobile.fr/sites/default/files/2020-11/1.4%20-%20Chap.III%20bis%20-%20V29_0.pdf</t>
  </si>
  <si>
    <t>Technician - Grade 23</t>
  </si>
  <si>
    <t>Month wage (gross)</t>
  </si>
  <si>
    <t>Payed holliday (5 W) and payed leave (2,5 D)</t>
  </si>
  <si>
    <t>Laser Cutting 
(Operator needed for 0.5*time running )</t>
  </si>
  <si>
    <t>Operator - Grade 9
Welder</t>
  </si>
  <si>
    <t>Operator - Grade 4 
(Laser cutting, bending and painting)</t>
  </si>
  <si>
    <t>Equipements</t>
  </si>
  <si>
    <t>https://lastafelshop.com/product/welding-table-4000-x-2000-complete/?lang=en</t>
  </si>
  <si>
    <t>https://lastafelshop.com/product/starter-packet-big/?lang=en</t>
  </si>
  <si>
    <t>https://fireballtool.com/magic-pack-plus/</t>
  </si>
  <si>
    <t xml:space="preserve">Clamping devices </t>
  </si>
  <si>
    <t>complete pack</t>
  </si>
  <si>
    <t>Squares</t>
  </si>
  <si>
    <t>4000x2000 + adjustable height</t>
  </si>
  <si>
    <t>Welding table</t>
  </si>
  <si>
    <t>Material</t>
  </si>
  <si>
    <t>Provider</t>
  </si>
  <si>
    <t>Price for one bottle (€ HT)</t>
  </si>
  <si>
    <t>Consumption (unity = bottles/year)</t>
  </si>
  <si>
    <t>Conversations with our partner La Giraudière</t>
  </si>
  <si>
    <t>Radius (mm)</t>
  </si>
  <si>
    <t>Weight by welding rod (kg/m)</t>
  </si>
  <si>
    <t>Conversation with our partners (Bery Inox and La Giraudière)</t>
  </si>
  <si>
    <t>Metal rod : Ø ??? mm TIG acier 35CrMo4</t>
  </si>
  <si>
    <t>Conversations with our partner Bery Inox</t>
  </si>
  <si>
    <t>Nombre</t>
  </si>
  <si>
    <t>Prix tube (€HT/m)</t>
  </si>
  <si>
    <t>Longueur tube (m)</t>
  </si>
  <si>
    <t>Diamètre tube (mm)</t>
  </si>
  <si>
    <t>Longueur à souder (m)</t>
  </si>
  <si>
    <t>Prix tubes total (€ HT)</t>
  </si>
  <si>
    <t>Price of welding metal (€/m, HT)</t>
  </si>
  <si>
    <t>Overall Welding cost (€ HT/m)</t>
  </si>
  <si>
    <t>Prix découpe total (€ HT)</t>
  </si>
  <si>
    <t>Prix soudure tube total (€ HT)</t>
  </si>
  <si>
    <t>Prix cintrage total (€ HT)</t>
  </si>
  <si>
    <t>Prix mise en pos</t>
  </si>
  <si>
    <t>Prix peinture total</t>
  </si>
  <si>
    <t xml:space="preserve">Moveable head Indicator </t>
  </si>
  <si>
    <t>Machining</t>
  </si>
  <si>
    <t>Unit of price</t>
  </si>
  <si>
    <t>Total (incl taxe)</t>
  </si>
  <si>
    <t>Need depreciation</t>
  </si>
  <si>
    <t>/year</t>
  </si>
  <si>
    <t>/year/user</t>
  </si>
  <si>
    <t>Comments</t>
  </si>
  <si>
    <t xml:space="preserve">2 license </t>
  </si>
  <si>
    <t>2 PC for CAD</t>
  </si>
  <si>
    <t>1 (always useful)</t>
  </si>
  <si>
    <t>1 for the only laptop</t>
  </si>
  <si>
    <t>6 for the 6 computers</t>
  </si>
  <si>
    <t>x1</t>
  </si>
  <si>
    <t>x3</t>
  </si>
  <si>
    <t>x2</t>
  </si>
  <si>
    <t xml:space="preserve"> 2 standard line, one mobile</t>
  </si>
  <si>
    <t>x4</t>
  </si>
  <si>
    <t>Printer A3/A4/… Scan/Fax…</t>
  </si>
  <si>
    <t>x5 (= technician + engineer + operators )</t>
  </si>
  <si>
    <t>Computers and accessories</t>
  </si>
  <si>
    <t>Printer consumable (4000 A4pages B&amp;W, 1600 A4pages Colors, A4x5000, A3x2000)</t>
  </si>
  <si>
    <t>x10</t>
  </si>
  <si>
    <t>IT&amp;Office</t>
  </si>
  <si>
    <t>Tooling</t>
  </si>
  <si>
    <t>Drill</t>
  </si>
  <si>
    <t>Makita 18V Drilling machine + batteries</t>
  </si>
  <si>
    <t>https://www.manomano.fr/p/perceuse-visseuse-18-v-li-ion-4-ah-13-mm-3-batteriesmakita-ddf482rm3j-1442275</t>
  </si>
  <si>
    <t>Nail gun</t>
  </si>
  <si>
    <t>Makita 18V Pin Nailer</t>
  </si>
  <si>
    <t>https://www.manomano.fr/p/cloueuse-sans-fil-2-batteries-makita-dbn600rtj-1-pcs-10186275</t>
  </si>
  <si>
    <t>Sander</t>
  </si>
  <si>
    <t>Makita 310W Orbital Sander</t>
  </si>
  <si>
    <t>https://www.manomano.fr/p/ponceuse-excentrique-310w-150mm-dans-makpac-makita-bo6030j-19544979?model_id=50464</t>
  </si>
  <si>
    <t>JigSaw</t>
  </si>
  <si>
    <t>Makita 720W JigSaw</t>
  </si>
  <si>
    <t>https://www.manomano.fr/p/scie-sauteuse-pendulaire-4351fctk-makita-28080</t>
  </si>
  <si>
    <t>Air Compressor</t>
  </si>
  <si>
    <t>Michelin Air Compressor 270L</t>
  </si>
  <si>
    <t>https://www.manomano.fr/catalogue/p/michelin-compresseur-270-litres-75-cv-14bars-19634090?model_id=19632092</t>
  </si>
  <si>
    <t>Roller for resin</t>
  </si>
  <si>
    <t>Combined roller Aluminium - D15 X140</t>
  </si>
  <si>
    <t>https://ecomposites.fr/outillage/107-ebulleur-aluminium-combine-d15-x140.html</t>
  </si>
  <si>
    <t>Combined roller Aluminium - D45 X70</t>
  </si>
  <si>
    <t>https://ecomposites.fr/outillage/53-ebulleur-combine-d45x70.html</t>
  </si>
  <si>
    <t>Kit for resin application</t>
  </si>
  <si>
    <t>Brush + rollers + gloves</t>
  </si>
  <si>
    <t>https://ecomposites.fr/les-kits/86-kit-resine-gelcoat.html</t>
  </si>
  <si>
    <t>Spray gun</t>
  </si>
  <si>
    <t>https://www.esska.fr/shop/Pistolet-pulverisateur-a-2-composants-pilote-mixte-N-melange-exterieur--762432000003-8820?hlid=762432000103</t>
  </si>
  <si>
    <t>CNC Mill</t>
  </si>
  <si>
    <t>DEMANDER QUELLE MACHINE</t>
  </si>
  <si>
    <t>Spray station</t>
  </si>
  <si>
    <t>All resin types</t>
  </si>
  <si>
    <t>https://www.esska.fr/shop/Unite-de-pulverisation-de-fibres-avec-bras-de-mixage-externe-et-chassis-elargi--ipsb-8000-4880</t>
  </si>
  <si>
    <t>Woodworking station</t>
  </si>
  <si>
    <t>Leman 6 operations</t>
  </si>
  <si>
    <t>https://www.outillage2000.com/machines-a-bois/combines-a-bois/combinee-leman-6-operations-mono-4722.html</t>
  </si>
  <si>
    <t>Resin</t>
  </si>
  <si>
    <t>DEMANDER QUELLE RESINE ET QUELLE QTE</t>
  </si>
  <si>
    <t>Fiber fabric</t>
  </si>
  <si>
    <t>DEMANDER REFERENCE ET QTE</t>
  </si>
  <si>
    <t>Energy Consumption</t>
  </si>
  <si>
    <t>Subscription</t>
  </si>
  <si>
    <t>kVA</t>
  </si>
  <si>
    <t>Power needed</t>
  </si>
  <si>
    <t>Subscription total</t>
  </si>
  <si>
    <t>Price</t>
  </si>
  <si>
    <t>Water price</t>
  </si>
  <si>
    <r>
      <t>€/m</t>
    </r>
    <r>
      <rPr>
        <vertAlign val="superscript"/>
        <sz val="11"/>
        <color theme="1"/>
        <rFont val="Calibri"/>
        <family val="2"/>
        <scheme val="minor"/>
      </rPr>
      <t>3</t>
    </r>
  </si>
  <si>
    <t>€/kVA (escl tax)</t>
  </si>
  <si>
    <t>€ (escl tax)</t>
  </si>
  <si>
    <t>€/kWh (escl tax)</t>
  </si>
  <si>
    <t>Hourly Wage (€/h/employee)</t>
  </si>
  <si>
    <t>Time of the Welding (h)</t>
  </si>
  <si>
    <t>Cost of 2 operators (€/h)</t>
  </si>
  <si>
    <t>Overall Welding cost (€ HT)</t>
  </si>
  <si>
    <t>Cost of 2 operators (€ 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</si>
</sst>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\ [$€-40C]_-;\-* #,##0.00\ [$€-40C]_-;_-* &quot;-&quot;??\ [$€-40C]_-;_-@_-"/>
    <numFmt numFmtId="166" formatCode="#,##0.00\ &quot;€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orbel"/>
      <family val="2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u/>
      <sz val="11"/>
      <color theme="10"/>
      <name val="Corbe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95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165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 applyFont="1"/>
    <xf numFmtId="0" fontId="0" fillId="0" borderId="12" xfId="0" applyBorder="1"/>
    <xf numFmtId="44" fontId="0" fillId="0" borderId="12" xfId="1" applyFont="1" applyBorder="1"/>
    <xf numFmtId="9" fontId="0" fillId="12" borderId="0" xfId="3" applyFont="1" applyFill="1"/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9" fontId="2" fillId="7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10" borderId="11" xfId="0" applyFont="1" applyFill="1" applyBorder="1" applyAlignment="1">
      <alignment horizontal="center" vertical="center"/>
    </xf>
    <xf numFmtId="165" fontId="0" fillId="0" borderId="12" xfId="0" applyNumberFormat="1" applyBorder="1"/>
    <xf numFmtId="0" fontId="0" fillId="0" borderId="14" xfId="0" applyBorder="1"/>
    <xf numFmtId="0" fontId="0" fillId="0" borderId="17" xfId="0" applyBorder="1"/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2" fillId="7" borderId="11" xfId="3" applyFont="1" applyFill="1" applyBorder="1" applyAlignment="1">
      <alignment horizontal="center" vertical="center"/>
    </xf>
    <xf numFmtId="11" fontId="2" fillId="7" borderId="11" xfId="0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9" borderId="11" xfId="0" applyNumberFormat="1" applyFont="1" applyFill="1" applyBorder="1" applyAlignment="1">
      <alignment horizontal="center" vertical="center"/>
    </xf>
    <xf numFmtId="11" fontId="2" fillId="7" borderId="11" xfId="4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0" fontId="0" fillId="0" borderId="40" xfId="0" applyBorder="1"/>
    <xf numFmtId="0" fontId="2" fillId="0" borderId="40" xfId="0" applyFont="1" applyBorder="1" applyAlignment="1">
      <alignment horizontal="center" vertical="center"/>
    </xf>
    <xf numFmtId="0" fontId="5" fillId="0" borderId="15" xfId="2" applyBorder="1"/>
    <xf numFmtId="0" fontId="2" fillId="0" borderId="0" xfId="0" applyFont="1" applyAlignment="1">
      <alignment horizontal="center" vertical="center"/>
    </xf>
    <xf numFmtId="6" fontId="0" fillId="0" borderId="12" xfId="0" applyNumberFormat="1" applyBorder="1"/>
    <xf numFmtId="17" fontId="0" fillId="0" borderId="22" xfId="0" applyNumberFormat="1" applyBorder="1"/>
    <xf numFmtId="8" fontId="0" fillId="0" borderId="31" xfId="0" applyNumberFormat="1" applyBorder="1"/>
    <xf numFmtId="0" fontId="0" fillId="0" borderId="50" xfId="0" applyBorder="1"/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44" fontId="0" fillId="0" borderId="40" xfId="1" applyFont="1" applyBorder="1"/>
    <xf numFmtId="0" fontId="5" fillId="0" borderId="39" xfId="2" applyBorder="1"/>
    <xf numFmtId="0" fontId="4" fillId="8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10" borderId="33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0" fillId="0" borderId="37" xfId="0" applyBorder="1" applyAlignment="1">
      <alignment wrapText="1"/>
    </xf>
    <xf numFmtId="0" fontId="0" fillId="0" borderId="31" xfId="0" applyBorder="1" applyAlignment="1">
      <alignment wrapText="1"/>
    </xf>
    <xf numFmtId="44" fontId="0" fillId="0" borderId="17" xfId="1" applyFont="1" applyBorder="1" applyAlignment="1">
      <alignment wrapText="1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44" fontId="0" fillId="0" borderId="14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8" fontId="0" fillId="0" borderId="14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8" fontId="0" fillId="0" borderId="15" xfId="0" applyNumberFormat="1" applyBorder="1" applyAlignment="1">
      <alignment vertical="center"/>
    </xf>
    <xf numFmtId="44" fontId="0" fillId="0" borderId="15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44" fontId="0" fillId="0" borderId="12" xfId="0" applyNumberFormat="1" applyBorder="1" applyAlignment="1">
      <alignment vertical="center"/>
    </xf>
    <xf numFmtId="0" fontId="0" fillId="0" borderId="22" xfId="0" applyBorder="1" applyAlignment="1">
      <alignment vertical="center"/>
    </xf>
    <xf numFmtId="8" fontId="0" fillId="0" borderId="12" xfId="0" applyNumberFormat="1" applyBorder="1" applyAlignment="1">
      <alignment vertical="center"/>
    </xf>
    <xf numFmtId="0" fontId="0" fillId="0" borderId="12" xfId="0" applyNumberFormat="1" applyBorder="1" applyAlignment="1">
      <alignment vertical="center"/>
    </xf>
    <xf numFmtId="8" fontId="0" fillId="0" borderId="16" xfId="0" applyNumberFormat="1" applyBorder="1" applyAlignment="1">
      <alignment vertical="center"/>
    </xf>
    <xf numFmtId="44" fontId="0" fillId="0" borderId="16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44" fontId="0" fillId="0" borderId="17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1" fontId="0" fillId="0" borderId="12" xfId="0" applyNumberFormat="1" applyBorder="1" applyAlignment="1">
      <alignment vertical="center"/>
    </xf>
    <xf numFmtId="1" fontId="0" fillId="0" borderId="16" xfId="0" applyNumberFormat="1" applyBorder="1" applyAlignment="1">
      <alignment vertical="center"/>
    </xf>
    <xf numFmtId="44" fontId="0" fillId="0" borderId="12" xfId="1" applyFont="1" applyBorder="1" applyAlignment="1">
      <alignment vertical="center"/>
    </xf>
    <xf numFmtId="9" fontId="0" fillId="0" borderId="12" xfId="3" applyFont="1" applyBorder="1" applyAlignment="1">
      <alignment vertical="center"/>
    </xf>
    <xf numFmtId="9" fontId="0" fillId="0" borderId="16" xfId="3" applyFont="1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7" xfId="0" applyNumberFormat="1" applyBorder="1" applyAlignment="1">
      <alignment vertical="center"/>
    </xf>
    <xf numFmtId="8" fontId="0" fillId="0" borderId="18" xfId="0" applyNumberFormat="1" applyBorder="1" applyAlignment="1">
      <alignment vertical="center"/>
    </xf>
    <xf numFmtId="9" fontId="0" fillId="0" borderId="17" xfId="3" applyFont="1" applyBorder="1" applyAlignment="1">
      <alignment vertical="center"/>
    </xf>
    <xf numFmtId="9" fontId="0" fillId="0" borderId="18" xfId="3" applyFont="1" applyBorder="1" applyAlignment="1">
      <alignment vertical="center" wrapText="1"/>
    </xf>
    <xf numFmtId="0" fontId="0" fillId="0" borderId="19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2" xfId="0" applyFill="1" applyBorder="1" applyAlignment="1">
      <alignment vertical="center" wrapText="1"/>
    </xf>
    <xf numFmtId="44" fontId="0" fillId="0" borderId="14" xfId="1" applyFont="1" applyBorder="1" applyAlignment="1">
      <alignment vertical="center"/>
    </xf>
    <xf numFmtId="0" fontId="0" fillId="0" borderId="16" xfId="0" applyNumberFormat="1" applyBorder="1" applyAlignment="1">
      <alignment vertical="center"/>
    </xf>
    <xf numFmtId="0" fontId="0" fillId="0" borderId="22" xfId="0" applyFill="1" applyBorder="1" applyAlignment="1">
      <alignment vertical="center"/>
    </xf>
    <xf numFmtId="9" fontId="0" fillId="0" borderId="18" xfId="3" applyFont="1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52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3" fillId="7" borderId="10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0" xfId="0" applyFill="1" applyAlignment="1">
      <alignment vertical="center"/>
    </xf>
    <xf numFmtId="8" fontId="0" fillId="0" borderId="0" xfId="0" applyNumberFormat="1" applyAlignment="1">
      <alignment vertical="center"/>
    </xf>
    <xf numFmtId="44" fontId="0" fillId="0" borderId="17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0" borderId="0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0" xfId="3" applyFont="1" applyAlignment="1">
      <alignment vertical="center"/>
    </xf>
    <xf numFmtId="44" fontId="0" fillId="0" borderId="0" xfId="0" applyNumberFormat="1" applyAlignment="1">
      <alignment vertical="center"/>
    </xf>
    <xf numFmtId="0" fontId="0" fillId="7" borderId="5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44" fontId="0" fillId="0" borderId="32" xfId="0" applyNumberForma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8" fillId="0" borderId="0" xfId="0" applyFont="1" applyAlignment="1"/>
    <xf numFmtId="0" fontId="8" fillId="0" borderId="0" xfId="0" applyFont="1"/>
    <xf numFmtId="0" fontId="9" fillId="14" borderId="40" xfId="0" applyFont="1" applyFill="1" applyBorder="1" applyAlignment="1">
      <alignment horizontal="center" vertical="center"/>
    </xf>
    <xf numFmtId="0" fontId="9" fillId="14" borderId="39" xfId="0" applyFont="1" applyFill="1" applyBorder="1" applyAlignment="1">
      <alignment horizontal="center" vertical="center"/>
    </xf>
    <xf numFmtId="44" fontId="8" fillId="0" borderId="31" xfId="1" applyFont="1" applyBorder="1"/>
    <xf numFmtId="44" fontId="8" fillId="0" borderId="31" xfId="0" applyNumberFormat="1" applyFont="1" applyBorder="1"/>
    <xf numFmtId="44" fontId="8" fillId="0" borderId="0" xfId="0" applyNumberFormat="1" applyFont="1"/>
    <xf numFmtId="0" fontId="8" fillId="0" borderId="32" xfId="0" applyFont="1" applyBorder="1"/>
    <xf numFmtId="0" fontId="8" fillId="0" borderId="16" xfId="0" applyFont="1" applyBorder="1"/>
    <xf numFmtId="1" fontId="8" fillId="0" borderId="16" xfId="0" applyNumberFormat="1" applyFont="1" applyBorder="1"/>
    <xf numFmtId="0" fontId="9" fillId="14" borderId="49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15" borderId="0" xfId="0" applyFont="1" applyFill="1" applyAlignment="1"/>
    <xf numFmtId="0" fontId="8" fillId="16" borderId="31" xfId="0" applyFont="1" applyFill="1" applyBorder="1"/>
    <xf numFmtId="0" fontId="8" fillId="16" borderId="12" xfId="0" applyFont="1" applyFill="1" applyBorder="1"/>
    <xf numFmtId="1" fontId="8" fillId="0" borderId="31" xfId="1" applyNumberFormat="1" applyFont="1" applyBorder="1"/>
    <xf numFmtId="0" fontId="9" fillId="14" borderId="38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14" borderId="38" xfId="0" applyFont="1" applyFill="1" applyBorder="1" applyAlignment="1">
      <alignment horizontal="left"/>
    </xf>
    <xf numFmtId="0" fontId="9" fillId="0" borderId="59" xfId="0" applyFont="1" applyBorder="1" applyAlignment="1">
      <alignment horizontal="left"/>
    </xf>
    <xf numFmtId="0" fontId="9" fillId="16" borderId="41" xfId="0" applyFont="1" applyFill="1" applyBorder="1" applyAlignment="1">
      <alignment horizontal="left"/>
    </xf>
    <xf numFmtId="0" fontId="8" fillId="16" borderId="44" xfId="0" applyFont="1" applyFill="1" applyBorder="1"/>
    <xf numFmtId="0" fontId="8" fillId="16" borderId="48" xfId="0" applyFont="1" applyFill="1" applyBorder="1"/>
    <xf numFmtId="0" fontId="9" fillId="16" borderId="45" xfId="0" applyFont="1" applyFill="1" applyBorder="1"/>
    <xf numFmtId="0" fontId="9" fillId="16" borderId="42" xfId="0" applyFont="1" applyFill="1" applyBorder="1" applyAlignment="1">
      <alignment horizontal="left"/>
    </xf>
    <xf numFmtId="0" fontId="8" fillId="16" borderId="22" xfId="0" applyFont="1" applyFill="1" applyBorder="1"/>
    <xf numFmtId="0" fontId="8" fillId="16" borderId="46" xfId="0" applyFont="1" applyFill="1" applyBorder="1"/>
    <xf numFmtId="0" fontId="9" fillId="16" borderId="42" xfId="0" applyFont="1" applyFill="1" applyBorder="1"/>
    <xf numFmtId="0" fontId="9" fillId="16" borderId="43" xfId="0" applyFont="1" applyFill="1" applyBorder="1" applyAlignment="1">
      <alignment horizontal="left"/>
    </xf>
    <xf numFmtId="0" fontId="8" fillId="16" borderId="21" xfId="0" applyFont="1" applyFill="1" applyBorder="1"/>
    <xf numFmtId="0" fontId="8" fillId="16" borderId="17" xfId="0" applyFont="1" applyFill="1" applyBorder="1"/>
    <xf numFmtId="0" fontId="8" fillId="16" borderId="47" xfId="0" applyFont="1" applyFill="1" applyBorder="1"/>
    <xf numFmtId="0" fontId="8" fillId="16" borderId="43" xfId="0" applyFont="1" applyFill="1" applyBorder="1"/>
    <xf numFmtId="0" fontId="7" fillId="0" borderId="60" xfId="0" applyFont="1" applyBorder="1" applyAlignment="1">
      <alignment horizontal="justify" vertical="center"/>
    </xf>
    <xf numFmtId="44" fontId="0" fillId="0" borderId="26" xfId="0" applyNumberFormat="1" applyBorder="1" applyAlignment="1">
      <alignment vertical="center"/>
    </xf>
    <xf numFmtId="0" fontId="0" fillId="15" borderId="0" xfId="0" applyFill="1" applyAlignment="1">
      <alignment vertical="center"/>
    </xf>
    <xf numFmtId="0" fontId="0" fillId="0" borderId="38" xfId="0" applyBorder="1" applyAlignment="1">
      <alignment vertical="center"/>
    </xf>
    <xf numFmtId="44" fontId="8" fillId="17" borderId="31" xfId="1" applyFont="1" applyFill="1" applyBorder="1"/>
    <xf numFmtId="44" fontId="8" fillId="0" borderId="31" xfId="0" applyNumberFormat="1" applyFont="1" applyFill="1" applyBorder="1"/>
    <xf numFmtId="0" fontId="9" fillId="14" borderId="38" xfId="0" applyFont="1" applyFill="1" applyBorder="1" applyAlignment="1">
      <alignment horizontal="center" vertical="center"/>
    </xf>
    <xf numFmtId="0" fontId="9" fillId="0" borderId="37" xfId="0" applyFont="1" applyBorder="1" applyAlignment="1">
      <alignment horizontal="left" wrapText="1"/>
    </xf>
    <xf numFmtId="0" fontId="9" fillId="14" borderId="40" xfId="0" applyFont="1" applyFill="1" applyBorder="1" applyAlignment="1">
      <alignment horizontal="center" vertical="center" wrapText="1"/>
    </xf>
    <xf numFmtId="0" fontId="5" fillId="0" borderId="0" xfId="2" applyAlignment="1">
      <alignment wrapText="1"/>
    </xf>
    <xf numFmtId="0" fontId="0" fillId="0" borderId="12" xfId="0" applyBorder="1" applyAlignment="1">
      <alignment wrapText="1"/>
    </xf>
    <xf numFmtId="44" fontId="0" fillId="0" borderId="12" xfId="1" applyFont="1" applyBorder="1" applyAlignment="1">
      <alignment wrapText="1"/>
    </xf>
    <xf numFmtId="44" fontId="0" fillId="0" borderId="12" xfId="0" applyNumberForma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17" xfId="0" applyBorder="1" applyAlignment="1">
      <alignment wrapText="1"/>
    </xf>
    <xf numFmtId="44" fontId="0" fillId="0" borderId="31" xfId="1" applyFont="1" applyBorder="1" applyAlignment="1">
      <alignment wrapText="1"/>
    </xf>
    <xf numFmtId="0" fontId="2" fillId="7" borderId="38" xfId="0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wrapText="1"/>
    </xf>
    <xf numFmtId="0" fontId="2" fillId="7" borderId="39" xfId="0" applyFont="1" applyFill="1" applyBorder="1" applyAlignment="1">
      <alignment horizontal="center" wrapText="1"/>
    </xf>
    <xf numFmtId="44" fontId="0" fillId="0" borderId="31" xfId="0" applyNumberFormat="1" applyBorder="1" applyAlignment="1">
      <alignment wrapText="1"/>
    </xf>
    <xf numFmtId="44" fontId="0" fillId="0" borderId="17" xfId="0" applyNumberFormat="1" applyBorder="1" applyAlignment="1">
      <alignment wrapText="1"/>
    </xf>
    <xf numFmtId="0" fontId="5" fillId="0" borderId="11" xfId="2" applyBorder="1"/>
    <xf numFmtId="44" fontId="0" fillId="0" borderId="62" xfId="0" applyNumberFormat="1" applyBorder="1" applyAlignment="1">
      <alignment wrapText="1"/>
    </xf>
    <xf numFmtId="0" fontId="2" fillId="7" borderId="50" xfId="0" applyFont="1" applyFill="1" applyBorder="1" applyAlignment="1">
      <alignment horizontal="center" wrapText="1"/>
    </xf>
    <xf numFmtId="0" fontId="0" fillId="0" borderId="22" xfId="0" applyBorder="1" applyAlignment="1">
      <alignment wrapText="1"/>
    </xf>
    <xf numFmtId="2" fontId="0" fillId="0" borderId="22" xfId="0" applyNumberFormat="1" applyBorder="1" applyAlignment="1">
      <alignment wrapText="1"/>
    </xf>
    <xf numFmtId="0" fontId="2" fillId="7" borderId="33" xfId="0" applyFont="1" applyFill="1" applyBorder="1" applyAlignment="1">
      <alignment horizontal="center" vertical="center"/>
    </xf>
    <xf numFmtId="44" fontId="0" fillId="0" borderId="21" xfId="0" applyNumberFormat="1" applyBorder="1" applyAlignment="1">
      <alignment wrapText="1"/>
    </xf>
    <xf numFmtId="0" fontId="2" fillId="7" borderId="25" xfId="0" applyFont="1" applyFill="1" applyBorder="1" applyAlignment="1">
      <alignment horizontal="center" vertical="center"/>
    </xf>
    <xf numFmtId="44" fontId="0" fillId="0" borderId="44" xfId="1" applyFont="1" applyBorder="1" applyAlignment="1">
      <alignment wrapText="1"/>
    </xf>
    <xf numFmtId="0" fontId="2" fillId="7" borderId="23" xfId="0" applyFont="1" applyFill="1" applyBorder="1" applyAlignment="1">
      <alignment horizontal="center" vertical="center"/>
    </xf>
    <xf numFmtId="0" fontId="2" fillId="7" borderId="63" xfId="0" applyFont="1" applyFill="1" applyBorder="1" applyAlignment="1">
      <alignment horizontal="center" wrapText="1"/>
    </xf>
    <xf numFmtId="1" fontId="0" fillId="0" borderId="14" xfId="0" applyNumberFormat="1" applyBorder="1" applyAlignment="1">
      <alignment wrapText="1"/>
    </xf>
    <xf numFmtId="0" fontId="8" fillId="0" borderId="18" xfId="0" applyFont="1" applyFill="1" applyBorder="1"/>
    <xf numFmtId="44" fontId="8" fillId="0" borderId="32" xfId="0" applyNumberFormat="1" applyFont="1" applyFill="1" applyBorder="1"/>
    <xf numFmtId="0" fontId="9" fillId="0" borderId="59" xfId="0" applyFont="1" applyBorder="1" applyAlignment="1">
      <alignment horizontal="center" vertical="center"/>
    </xf>
    <xf numFmtId="0" fontId="9" fillId="16" borderId="62" xfId="0" applyFont="1" applyFill="1" applyBorder="1"/>
    <xf numFmtId="44" fontId="9" fillId="0" borderId="28" xfId="1" applyFont="1" applyBorder="1"/>
    <xf numFmtId="0" fontId="9" fillId="0" borderId="34" xfId="0" applyFont="1" applyBorder="1" applyAlignment="1">
      <alignment horizontal="left" wrapText="1"/>
    </xf>
    <xf numFmtId="1" fontId="8" fillId="0" borderId="14" xfId="1" applyNumberFormat="1" applyFont="1" applyBorder="1"/>
    <xf numFmtId="44" fontId="8" fillId="17" borderId="14" xfId="1" applyFont="1" applyFill="1" applyBorder="1"/>
    <xf numFmtId="44" fontId="8" fillId="0" borderId="14" xfId="1" applyFont="1" applyBorder="1"/>
    <xf numFmtId="0" fontId="8" fillId="16" borderId="14" xfId="0" applyFont="1" applyFill="1" applyBorder="1"/>
    <xf numFmtId="44" fontId="8" fillId="0" borderId="14" xfId="0" applyNumberFormat="1" applyFont="1" applyFill="1" applyBorder="1"/>
    <xf numFmtId="44" fontId="8" fillId="0" borderId="15" xfId="0" applyNumberFormat="1" applyFont="1" applyFill="1" applyBorder="1"/>
    <xf numFmtId="1" fontId="8" fillId="0" borderId="62" xfId="1" applyNumberFormat="1" applyFont="1" applyBorder="1"/>
    <xf numFmtId="44" fontId="8" fillId="17" borderId="62" xfId="1" applyFont="1" applyFill="1" applyBorder="1"/>
    <xf numFmtId="44" fontId="8" fillId="0" borderId="62" xfId="1" applyFont="1" applyBorder="1"/>
    <xf numFmtId="44" fontId="8" fillId="0" borderId="62" xfId="0" applyNumberFormat="1" applyFont="1" applyFill="1" applyBorder="1"/>
    <xf numFmtId="44" fontId="8" fillId="0" borderId="28" xfId="0" applyNumberFormat="1" applyFont="1" applyFill="1" applyBorder="1"/>
    <xf numFmtId="0" fontId="8" fillId="0" borderId="28" xfId="0" applyFont="1" applyFill="1" applyBorder="1"/>
    <xf numFmtId="0" fontId="0" fillId="16" borderId="14" xfId="0" applyFill="1" applyBorder="1" applyAlignment="1">
      <alignment wrapText="1"/>
    </xf>
    <xf numFmtId="0" fontId="0" fillId="16" borderId="12" xfId="0" applyFill="1" applyBorder="1" applyAlignment="1">
      <alignment wrapText="1"/>
    </xf>
    <xf numFmtId="44" fontId="0" fillId="0" borderId="17" xfId="1" applyFont="1" applyFill="1" applyBorder="1" applyAlignment="1">
      <alignment wrapText="1"/>
    </xf>
    <xf numFmtId="0" fontId="0" fillId="0" borderId="0" xfId="0" applyBorder="1"/>
    <xf numFmtId="0" fontId="0" fillId="0" borderId="34" xfId="0" applyBorder="1"/>
    <xf numFmtId="0" fontId="0" fillId="0" borderId="16" xfId="0" applyBorder="1"/>
    <xf numFmtId="0" fontId="0" fillId="0" borderId="18" xfId="0" applyBorder="1"/>
    <xf numFmtId="44" fontId="0" fillId="0" borderId="15" xfId="0" applyNumberFormat="1" applyBorder="1"/>
    <xf numFmtId="0" fontId="2" fillId="3" borderId="33" xfId="0" applyFont="1" applyFill="1" applyBorder="1" applyAlignment="1">
      <alignment wrapText="1"/>
    </xf>
    <xf numFmtId="44" fontId="0" fillId="0" borderId="33" xfId="0" applyNumberFormat="1" applyBorder="1" applyAlignment="1">
      <alignment wrapText="1"/>
    </xf>
    <xf numFmtId="44" fontId="0" fillId="0" borderId="27" xfId="0" applyNumberFormat="1" applyBorder="1"/>
    <xf numFmtId="0" fontId="0" fillId="0" borderId="32" xfId="0" applyBorder="1"/>
    <xf numFmtId="0" fontId="0" fillId="0" borderId="59" xfId="0" applyBorder="1"/>
    <xf numFmtId="44" fontId="0" fillId="0" borderId="16" xfId="0" applyNumberFormat="1" applyBorder="1"/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6" borderId="45" xfId="0" applyFont="1" applyFill="1" applyBorder="1" applyAlignment="1">
      <alignment horizontal="left" vertical="center"/>
    </xf>
    <xf numFmtId="0" fontId="0" fillId="16" borderId="44" xfId="0" applyFill="1" applyBorder="1"/>
    <xf numFmtId="6" fontId="0" fillId="16" borderId="31" xfId="0" applyNumberFormat="1" applyFill="1" applyBorder="1"/>
    <xf numFmtId="8" fontId="0" fillId="16" borderId="31" xfId="0" applyNumberFormat="1" applyFill="1" applyBorder="1"/>
    <xf numFmtId="0" fontId="5" fillId="16" borderId="32" xfId="2" applyFill="1" applyBorder="1" applyAlignment="1">
      <alignment wrapText="1"/>
    </xf>
    <xf numFmtId="0" fontId="3" fillId="16" borderId="42" xfId="0" applyFont="1" applyFill="1" applyBorder="1" applyAlignment="1">
      <alignment horizontal="left" vertical="center"/>
    </xf>
    <xf numFmtId="0" fontId="3" fillId="16" borderId="22" xfId="0" applyFont="1" applyFill="1" applyBorder="1"/>
    <xf numFmtId="6" fontId="3" fillId="16" borderId="12" xfId="0" applyNumberFormat="1" applyFont="1" applyFill="1" applyBorder="1"/>
    <xf numFmtId="8" fontId="3" fillId="16" borderId="31" xfId="0" applyNumberFormat="1" applyFont="1" applyFill="1" applyBorder="1"/>
    <xf numFmtId="0" fontId="5" fillId="16" borderId="16" xfId="2" applyFill="1" applyBorder="1" applyAlignment="1">
      <alignment wrapText="1"/>
    </xf>
    <xf numFmtId="0" fontId="2" fillId="4" borderId="42" xfId="0" applyFont="1" applyFill="1" applyBorder="1" applyAlignment="1">
      <alignment horizontal="left" vertical="center"/>
    </xf>
    <xf numFmtId="0" fontId="2" fillId="4" borderId="43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5" fillId="0" borderId="15" xfId="2" applyBorder="1" applyAlignment="1">
      <alignment vertical="center"/>
    </xf>
    <xf numFmtId="0" fontId="5" fillId="0" borderId="18" xfId="2" applyBorder="1" applyAlignment="1">
      <alignment vertical="center"/>
    </xf>
    <xf numFmtId="44" fontId="0" fillId="0" borderId="67" xfId="1" applyFont="1" applyBorder="1" applyAlignment="1">
      <alignment vertical="center"/>
    </xf>
    <xf numFmtId="0" fontId="5" fillId="0" borderId="16" xfId="2" applyBorder="1" applyAlignment="1">
      <alignment vertical="center"/>
    </xf>
    <xf numFmtId="44" fontId="0" fillId="0" borderId="31" xfId="1" applyFont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40" xfId="0" applyBorder="1" applyAlignment="1">
      <alignment vertical="center"/>
    </xf>
    <xf numFmtId="44" fontId="0" fillId="0" borderId="40" xfId="1" applyFon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35" xfId="0" applyBorder="1" applyAlignment="1">
      <alignment vertical="center"/>
    </xf>
    <xf numFmtId="44" fontId="0" fillId="0" borderId="31" xfId="0" applyNumberFormat="1" applyBorder="1"/>
    <xf numFmtId="44" fontId="0" fillId="0" borderId="17" xfId="0" applyNumberFormat="1" applyBorder="1"/>
    <xf numFmtId="0" fontId="0" fillId="0" borderId="44" xfId="0" applyBorder="1"/>
    <xf numFmtId="0" fontId="2" fillId="6" borderId="68" xfId="0" applyFont="1" applyFill="1" applyBorder="1" applyAlignment="1">
      <alignment horizontal="center" vertical="center"/>
    </xf>
    <xf numFmtId="44" fontId="0" fillId="0" borderId="12" xfId="0" applyNumberFormat="1" applyBorder="1"/>
    <xf numFmtId="0" fontId="0" fillId="0" borderId="44" xfId="0" applyBorder="1" applyAlignment="1">
      <alignment vertical="center"/>
    </xf>
    <xf numFmtId="44" fontId="2" fillId="7" borderId="40" xfId="1" applyFont="1" applyFill="1" applyBorder="1" applyAlignment="1">
      <alignment horizontal="center" wrapText="1"/>
    </xf>
    <xf numFmtId="0" fontId="13" fillId="0" borderId="31" xfId="0" applyFont="1" applyBorder="1"/>
    <xf numFmtId="0" fontId="13" fillId="0" borderId="17" xfId="0" applyFont="1" applyBorder="1"/>
    <xf numFmtId="0" fontId="5" fillId="0" borderId="56" xfId="2" applyBorder="1"/>
    <xf numFmtId="0" fontId="0" fillId="0" borderId="0" xfId="0"/>
    <xf numFmtId="0" fontId="2" fillId="18" borderId="38" xfId="0" applyFont="1" applyFill="1" applyBorder="1"/>
    <xf numFmtId="0" fontId="2" fillId="18" borderId="40" xfId="0" applyFont="1" applyFill="1" applyBorder="1"/>
    <xf numFmtId="0" fontId="2" fillId="18" borderId="39" xfId="0" applyFont="1" applyFill="1" applyBorder="1"/>
    <xf numFmtId="44" fontId="0" fillId="0" borderId="31" xfId="1" applyFont="1" applyFill="1" applyBorder="1" applyAlignment="1">
      <alignment vertical="center"/>
    </xf>
    <xf numFmtId="0" fontId="0" fillId="0" borderId="31" xfId="0" applyNumberFormat="1" applyBorder="1" applyAlignment="1">
      <alignment vertical="center"/>
    </xf>
    <xf numFmtId="8" fontId="0" fillId="0" borderId="32" xfId="0" applyNumberFormat="1" applyBorder="1" applyAlignment="1">
      <alignment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14" xfId="0" applyFont="1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44" fontId="1" fillId="0" borderId="14" xfId="1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0" fillId="0" borderId="12" xfId="0" applyFont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0" fontId="5" fillId="0" borderId="16" xfId="2" applyFont="1" applyBorder="1" applyAlignment="1">
      <alignment horizontal="center"/>
    </xf>
    <xf numFmtId="44" fontId="0" fillId="0" borderId="12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40" xfId="0" applyFont="1" applyBorder="1" applyAlignment="1">
      <alignment horizontal="center" wrapText="1"/>
    </xf>
    <xf numFmtId="0" fontId="0" fillId="0" borderId="4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 wrapText="1"/>
    </xf>
    <xf numFmtId="44" fontId="1" fillId="0" borderId="0" xfId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0" fillId="0" borderId="3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5" fillId="0" borderId="31" xfId="2" applyFont="1" applyBorder="1" applyAlignment="1">
      <alignment horizontal="center" wrapText="1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 wrapText="1"/>
    </xf>
    <xf numFmtId="0" fontId="0" fillId="0" borderId="35" xfId="0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35" xfId="0" applyFont="1" applyBorder="1" applyAlignment="1">
      <alignment horizontal="center" wrapText="1"/>
    </xf>
    <xf numFmtId="0" fontId="0" fillId="0" borderId="36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 wrapText="1"/>
    </xf>
    <xf numFmtId="44" fontId="0" fillId="0" borderId="14" xfId="0" applyNumberFormat="1" applyFont="1" applyBorder="1" applyAlignment="1">
      <alignment horizontal="center" wrapText="1"/>
    </xf>
    <xf numFmtId="0" fontId="2" fillId="5" borderId="59" xfId="0" applyFont="1" applyFill="1" applyBorder="1" applyAlignment="1">
      <alignment horizontal="center" wrapText="1"/>
    </xf>
    <xf numFmtId="0" fontId="0" fillId="0" borderId="62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166" fontId="0" fillId="0" borderId="62" xfId="0" applyNumberFormat="1" applyFont="1" applyBorder="1" applyAlignment="1">
      <alignment horizontal="center"/>
    </xf>
    <xf numFmtId="166" fontId="0" fillId="0" borderId="62" xfId="0" applyNumberFormat="1" applyFont="1" applyBorder="1" applyAlignment="1">
      <alignment horizontal="center" wrapText="1"/>
    </xf>
    <xf numFmtId="0" fontId="5" fillId="0" borderId="28" xfId="2" applyFont="1" applyBorder="1" applyAlignment="1">
      <alignment horizontal="center"/>
    </xf>
    <xf numFmtId="44" fontId="0" fillId="0" borderId="12" xfId="0" applyNumberFormat="1" applyFont="1" applyBorder="1" applyAlignment="1">
      <alignment horizontal="center" wrapText="1"/>
    </xf>
    <xf numFmtId="44" fontId="0" fillId="0" borderId="17" xfId="1" applyFont="1" applyBorder="1" applyAlignment="1">
      <alignment horizontal="center" wrapText="1"/>
    </xf>
    <xf numFmtId="44" fontId="0" fillId="0" borderId="17" xfId="0" applyNumberFormat="1" applyFont="1" applyBorder="1" applyAlignment="1">
      <alignment horizontal="center" wrapText="1"/>
    </xf>
    <xf numFmtId="0" fontId="5" fillId="0" borderId="18" xfId="2" applyFont="1" applyBorder="1" applyAlignment="1">
      <alignment horizontal="center"/>
    </xf>
    <xf numFmtId="0" fontId="2" fillId="6" borderId="23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 wrapText="1"/>
    </xf>
    <xf numFmtId="0" fontId="2" fillId="11" borderId="24" xfId="0" applyFont="1" applyFill="1" applyBorder="1" applyAlignment="1">
      <alignment horizontal="center" vertical="center" wrapText="1"/>
    </xf>
    <xf numFmtId="0" fontId="2" fillId="11" borderId="25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/>
    </xf>
    <xf numFmtId="0" fontId="9" fillId="13" borderId="9" xfId="0" applyFont="1" applyFill="1" applyBorder="1" applyAlignment="1">
      <alignment horizontal="center"/>
    </xf>
    <xf numFmtId="0" fontId="5" fillId="0" borderId="46" xfId="2" applyBorder="1" applyAlignment="1">
      <alignment horizontal="center" wrapText="1"/>
    </xf>
    <xf numFmtId="0" fontId="10" fillId="0" borderId="54" xfId="2" applyFont="1" applyBorder="1" applyAlignment="1">
      <alignment horizontal="center"/>
    </xf>
    <xf numFmtId="0" fontId="10" fillId="0" borderId="55" xfId="2" applyFont="1" applyBorder="1" applyAlignment="1">
      <alignment horizontal="center"/>
    </xf>
    <xf numFmtId="0" fontId="10" fillId="0" borderId="54" xfId="2" applyFont="1" applyBorder="1" applyAlignment="1">
      <alignment horizontal="center" wrapText="1"/>
    </xf>
    <xf numFmtId="0" fontId="10" fillId="0" borderId="55" xfId="2" applyFont="1" applyBorder="1" applyAlignment="1">
      <alignment horizontal="center" wrapText="1"/>
    </xf>
    <xf numFmtId="0" fontId="9" fillId="0" borderId="53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5" fillId="0" borderId="54" xfId="2" applyBorder="1" applyAlignment="1">
      <alignment horizontal="center" wrapText="1"/>
    </xf>
    <xf numFmtId="0" fontId="5" fillId="0" borderId="55" xfId="2" applyBorder="1" applyAlignment="1">
      <alignment horizontal="center" wrapText="1"/>
    </xf>
    <xf numFmtId="0" fontId="9" fillId="13" borderId="7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4" borderId="49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10" fillId="0" borderId="57" xfId="2" applyFont="1" applyBorder="1" applyAlignment="1">
      <alignment horizontal="center"/>
    </xf>
    <xf numFmtId="0" fontId="10" fillId="0" borderId="13" xfId="2" applyFont="1" applyBorder="1" applyAlignment="1">
      <alignment horizontal="center"/>
    </xf>
    <xf numFmtId="0" fontId="10" fillId="0" borderId="56" xfId="2" applyFont="1" applyBorder="1" applyAlignment="1">
      <alignment horizontal="center"/>
    </xf>
    <xf numFmtId="0" fontId="10" fillId="0" borderId="46" xfId="2" applyFont="1" applyBorder="1" applyAlignment="1">
      <alignment horizontal="center"/>
    </xf>
    <xf numFmtId="0" fontId="10" fillId="0" borderId="47" xfId="2" applyFont="1" applyBorder="1" applyAlignment="1">
      <alignment horizontal="center"/>
    </xf>
    <xf numFmtId="0" fontId="10" fillId="0" borderId="20" xfId="2" applyFont="1" applyBorder="1" applyAlignment="1">
      <alignment horizontal="center"/>
    </xf>
    <xf numFmtId="0" fontId="10" fillId="0" borderId="58" xfId="2" applyFont="1" applyBorder="1" applyAlignment="1">
      <alignment horizontal="center"/>
    </xf>
    <xf numFmtId="0" fontId="2" fillId="5" borderId="34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left" vertical="center"/>
    </xf>
    <xf numFmtId="0" fontId="2" fillId="4" borderId="45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7" borderId="49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0" xfId="0" applyFill="1" applyBorder="1"/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haascnc.com/shop/category/pricelist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nomano.fr/p/scie-sauteuse-pendulaire-4351fctk-makita-28080" TargetMode="External"/><Relationship Id="rId2" Type="http://schemas.openxmlformats.org/officeDocument/2006/relationships/hyperlink" Target="https://www.manomano.fr/p/cloueuse-sans-fil-2-batteries-makita-dbn600rtj-1-pcs-10186275" TargetMode="External"/><Relationship Id="rId1" Type="http://schemas.openxmlformats.org/officeDocument/2006/relationships/hyperlink" Target="https://www.manomano.fr/p/perceuse-visseuse-18-v-li-ion-4-ah-13-mm-3-batteriesmakita-ddf482rm3j-1442275" TargetMode="External"/><Relationship Id="rId5" Type="http://schemas.openxmlformats.org/officeDocument/2006/relationships/hyperlink" Target="https://www.outillage2000.com/machines-a-bois/combines-a-bois/combinee-leman-6-operations-mono-4722.html" TargetMode="External"/><Relationship Id="rId4" Type="http://schemas.openxmlformats.org/officeDocument/2006/relationships/hyperlink" Target="https://www.manomano.fr/catalogue/p/michelin-compresseur-270-litres-75-cv-14bars-19634090?model_id=19632092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travail-emploi.gouv.fr/droit-du-travail/la-remuneration/article/le-smic-montants-en-vigueur-a-compter-du-1er-janvier-2021" TargetMode="External"/><Relationship Id="rId7" Type="http://schemas.openxmlformats.org/officeDocument/2006/relationships/hyperlink" Target="https://www.services-automobile.fr/sites/default/files/2020-11/1.4%20-%20Chap.III%20bis%20-%20V29_0.pdf" TargetMode="External"/><Relationship Id="rId2" Type="http://schemas.openxmlformats.org/officeDocument/2006/relationships/hyperlink" Target="https://www.service-public.fr/professionnels-entreprises/vosdroits/services-en-ligne-et-formulaires/simulateur-cout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6" Type="http://schemas.openxmlformats.org/officeDocument/2006/relationships/hyperlink" Target="https://www.services-automobile.fr/sites/default/files/2018-04/Convention%20collective%20-%20Chapitre%20V.pdf" TargetMode="External"/><Relationship Id="rId5" Type="http://schemas.openxmlformats.org/officeDocument/2006/relationships/hyperlink" Target="https://www.services-automobile.fr/sites/default/files/2018-04/Convention%20collective%20-%20Chapitre%20III.pdf" TargetMode="External"/><Relationship Id="rId4" Type="http://schemas.openxmlformats.org/officeDocument/2006/relationships/hyperlink" Target="https://www.juristique.org/social/duree-du-travai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s://www.kelwatt.fr/guide/prix-electricite-entreprise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18" Type="http://schemas.openxmlformats.org/officeDocument/2006/relationships/hyperlink" Target="https://www.francebureau.com/media/catalogue-mobilier/bureau-modulaire-kibo.pdf" TargetMode="External"/><Relationship Id="rId3" Type="http://schemas.openxmlformats.org/officeDocument/2006/relationships/hyperlink" Target="https://store.hp.com/FranceStore/Merch/Product.aspx?id=G5J38A&amp;opt=A80&amp;sel=PRN" TargetMode="External"/><Relationship Id="rId21" Type="http://schemas.openxmlformats.org/officeDocument/2006/relationships/hyperlink" Target="https://www.francebureau.com/media/catalogue-mobilier/bureau-direction-etretat.pdf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17" Type="http://schemas.openxmlformats.org/officeDocument/2006/relationships/hyperlink" Target="https://www.francebureau.com/media/catalogue-mobilier/bureau-modulaire-kibo.pdf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20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23" Type="http://schemas.openxmlformats.org/officeDocument/2006/relationships/hyperlink" Target="https://www.francebureau.com/alto-16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19" Type="http://schemas.openxmlformats.org/officeDocument/2006/relationships/hyperlink" Target="https://www.francebureau.com/media/catalogue-mobilier/bureau-modulaire-kibo.pdf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Relationship Id="rId22" Type="http://schemas.openxmlformats.org/officeDocument/2006/relationships/hyperlink" Target="https://www.francebureau.com/media/catalogue-mobilier/table-reunion-modulable-arc-reunio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19" Type="http://schemas.openxmlformats.org/officeDocument/2006/relationships/hyperlink" Target="https://www.manutan.fr/fr/maf/ponceuse-combinee-disque-bande-jsg-233-promac-230-v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77/Paire%20de%20v%C3%A9s/$catalogue/mitutoyoData/PR/911-111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2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colonne-de-mesure-817clm-cap-600-770-pupitre-2d/p-G1197000019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1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www.orexad.com/fr/projecteur-de-profil-pj-h30/p-G1213001821" TargetMode="External"/><Relationship Id="rId10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14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ireballtool.com/magic-pack-plus/" TargetMode="External"/><Relationship Id="rId3" Type="http://schemas.openxmlformats.org/officeDocument/2006/relationships/hyperlink" Target="https://www.orexad.com/fr/mobiflex-200-m-systeme-d-aspiration-des-fumees/p-G1189001541" TargetMode="External"/><Relationship Id="rId7" Type="http://schemas.openxmlformats.org/officeDocument/2006/relationships/hyperlink" Target="https://www.promeca.com/soudage-et-accessoires/equipements-du-soudeur/vetements-specifiques-du-soudeur" TargetMode="External"/><Relationship Id="rId2" Type="http://schemas.openxmlformats.org/officeDocument/2006/relationships/hyperlink" Target="https://www.promeca.com/poste-a-souder-tig220-ac-dc-ta34-ref-eau-esab-caddy-tig2200iac-dc" TargetMode="External"/><Relationship Id="rId1" Type="http://schemas.openxmlformats.org/officeDocument/2006/relationships/hyperlink" Target="https://lastafelshop.com/product/welding-table-4000-x-2000-complete/?lang=en" TargetMode="External"/><Relationship Id="rId6" Type="http://schemas.openxmlformats.org/officeDocument/2006/relationships/hyperlink" Target="https://www.promeca.com/cagoule-speedglas-100v-noir-751120" TargetMode="External"/><Relationship Id="rId5" Type="http://schemas.openxmlformats.org/officeDocument/2006/relationships/hyperlink" Target="https://lastafelshop.com/product/starter-packet-big/?lang=en" TargetMode="External"/><Relationship Id="rId4" Type="http://schemas.openxmlformats.org/officeDocument/2006/relationships/hyperlink" Target="https://www.orexad.com/fr/refroidisseurs-cool-arc/p-G1189001474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fireballtool.com/magic-pack-plus/" TargetMode="External"/><Relationship Id="rId3" Type="http://schemas.openxmlformats.org/officeDocument/2006/relationships/hyperlink" Target="https://www.orexad.com/fr/mobiflex-200-m-systeme-d-aspiration-des-fumees/p-G1189001541" TargetMode="External"/><Relationship Id="rId7" Type="http://schemas.openxmlformats.org/officeDocument/2006/relationships/hyperlink" Target="https://www.promeca.com/soudage-et-accessoires/equipements-du-soudeur/vetements-specifiques-du-soudeur" TargetMode="External"/><Relationship Id="rId2" Type="http://schemas.openxmlformats.org/officeDocument/2006/relationships/hyperlink" Target="https://www.promeca.com/poste-a-souder-tig220-ac-dc-ta34-ref-eau-esab-caddy-tig2200iac-dc" TargetMode="External"/><Relationship Id="rId1" Type="http://schemas.openxmlformats.org/officeDocument/2006/relationships/hyperlink" Target="https://lastafelshop.com/product/welding-table-4000-x-2000-complete/?lang=en" TargetMode="External"/><Relationship Id="rId6" Type="http://schemas.openxmlformats.org/officeDocument/2006/relationships/hyperlink" Target="https://www.promeca.com/cagoule-speedglas-100v-noir-751120" TargetMode="External"/><Relationship Id="rId5" Type="http://schemas.openxmlformats.org/officeDocument/2006/relationships/hyperlink" Target="https://lastafelshop.com/product/starter-packet-big/?lang=en" TargetMode="External"/><Relationship Id="rId4" Type="http://schemas.openxmlformats.org/officeDocument/2006/relationships/hyperlink" Target="https://www.orexad.com/fr/refroidisseurs-cool-arc/p-G1189001474" TargetMode="External"/><Relationship Id="rId9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T106"/>
  <sheetViews>
    <sheetView showGridLines="0" zoomScale="99" zoomScaleNormal="59" workbookViewId="0">
      <selection activeCell="D10" sqref="D10"/>
    </sheetView>
  </sheetViews>
  <sheetFormatPr baseColWidth="10" defaultRowHeight="15" x14ac:dyDescent="0.25"/>
  <cols>
    <col min="1" max="1" width="3.140625" style="118" customWidth="1"/>
    <col min="2" max="2" width="14.28515625" style="118" bestFit="1" customWidth="1"/>
    <col min="3" max="3" width="22.140625" style="118" bestFit="1" customWidth="1"/>
    <col min="4" max="4" width="13" style="118" bestFit="1" customWidth="1"/>
    <col min="5" max="5" width="60.140625" style="118" bestFit="1" customWidth="1"/>
    <col min="6" max="6" width="4.85546875" style="118" customWidth="1"/>
    <col min="7" max="7" width="14.85546875" style="118" bestFit="1" customWidth="1"/>
    <col min="8" max="8" width="77.85546875" style="118" bestFit="1" customWidth="1"/>
    <col min="9" max="9" width="12" style="118" bestFit="1" customWidth="1"/>
    <col min="10" max="10" width="23.28515625" style="118" bestFit="1" customWidth="1"/>
    <col min="11" max="11" width="10.5703125" style="118" bestFit="1" customWidth="1"/>
    <col min="12" max="12" width="4.5703125" style="118" customWidth="1"/>
    <col min="13" max="13" width="63.7109375" style="118" bestFit="1" customWidth="1"/>
    <col min="14" max="14" width="8.7109375" style="118" bestFit="1" customWidth="1"/>
    <col min="15" max="15" width="30" style="118" bestFit="1" customWidth="1"/>
    <col min="16" max="16" width="8.5703125" style="118" bestFit="1" customWidth="1"/>
    <col min="17" max="17" width="21.42578125" style="118" bestFit="1" customWidth="1"/>
    <col min="18" max="18" width="13" style="118" bestFit="1" customWidth="1"/>
    <col min="19" max="19" width="23.28515625" style="118" bestFit="1" customWidth="1"/>
    <col min="20" max="20" width="12" style="118" bestFit="1" customWidth="1"/>
    <col min="21" max="21" width="4.7109375" style="118" customWidth="1"/>
    <col min="22" max="22" width="29.42578125" style="118" bestFit="1" customWidth="1"/>
    <col min="23" max="23" width="14.5703125" style="118" bestFit="1" customWidth="1"/>
    <col min="24" max="24" width="11.42578125" style="118"/>
    <col min="25" max="25" width="4.85546875" style="118" customWidth="1"/>
    <col min="26" max="16384" width="11.42578125" style="118"/>
  </cols>
  <sheetData>
    <row r="1" spans="1:20" ht="15.75" thickBot="1" x14ac:dyDescent="0.3"/>
    <row r="2" spans="1:20" ht="15.75" thickBot="1" x14ac:dyDescent="0.3">
      <c r="A2" s="225"/>
      <c r="B2" s="407" t="s">
        <v>38</v>
      </c>
      <c r="C2" s="408"/>
      <c r="D2" s="408"/>
      <c r="E2" s="409"/>
      <c r="F2" s="225"/>
      <c r="G2" s="419" t="s">
        <v>14</v>
      </c>
      <c r="H2" s="420"/>
      <c r="I2" s="420"/>
      <c r="J2" s="420"/>
      <c r="K2" s="421"/>
      <c r="M2" s="422" t="s">
        <v>186</v>
      </c>
      <c r="N2" s="423"/>
      <c r="O2" s="423"/>
      <c r="P2" s="423"/>
      <c r="Q2" s="423"/>
      <c r="R2" s="423"/>
      <c r="S2" s="423"/>
      <c r="T2" s="424"/>
    </row>
    <row r="3" spans="1:20" ht="15.75" customHeight="1" thickBot="1" x14ac:dyDescent="0.3">
      <c r="A3" s="225"/>
      <c r="B3" s="111" t="s">
        <v>28</v>
      </c>
      <c r="C3" s="111" t="s">
        <v>16</v>
      </c>
      <c r="D3" s="111" t="s">
        <v>39</v>
      </c>
      <c r="E3" s="19" t="s">
        <v>204</v>
      </c>
      <c r="F3" s="225"/>
      <c r="G3" s="33" t="s">
        <v>28</v>
      </c>
      <c r="H3" s="34" t="s">
        <v>25</v>
      </c>
      <c r="I3" s="34" t="s">
        <v>17</v>
      </c>
      <c r="J3" s="35" t="s">
        <v>344</v>
      </c>
      <c r="K3" s="36" t="s">
        <v>184</v>
      </c>
      <c r="M3" s="46" t="s">
        <v>15</v>
      </c>
      <c r="N3" s="47"/>
      <c r="O3" s="47" t="s">
        <v>16</v>
      </c>
      <c r="P3" s="47" t="s">
        <v>189</v>
      </c>
      <c r="Q3" s="47" t="s">
        <v>194</v>
      </c>
      <c r="R3" s="47" t="s">
        <v>17</v>
      </c>
      <c r="S3" s="48" t="s">
        <v>344</v>
      </c>
      <c r="T3" s="49" t="s">
        <v>184</v>
      </c>
    </row>
    <row r="4" spans="1:20" ht="30.75" thickBot="1" x14ac:dyDescent="0.3">
      <c r="A4" s="225"/>
      <c r="B4" s="112" t="s">
        <v>507</v>
      </c>
      <c r="C4" s="226" t="s">
        <v>523</v>
      </c>
      <c r="D4" s="120">
        <f>'Manpower &amp; time'!E17</f>
        <v>151244.41558441558</v>
      </c>
      <c r="E4" s="224" t="s">
        <v>465</v>
      </c>
      <c r="G4" s="43" t="s">
        <v>231</v>
      </c>
      <c r="H4" s="121" t="s">
        <v>129</v>
      </c>
      <c r="I4" s="120" t="e">
        <f>#REF!</f>
        <v>#REF!</v>
      </c>
      <c r="J4" s="123">
        <v>1</v>
      </c>
      <c r="K4" s="124" t="e">
        <f t="shared" ref="K4:K10" si="0">I4/J4</f>
        <v>#REF!</v>
      </c>
      <c r="M4" s="430" t="s">
        <v>433</v>
      </c>
      <c r="N4" s="434"/>
      <c r="O4" s="121" t="s">
        <v>185</v>
      </c>
      <c r="P4" s="119" t="s">
        <v>190</v>
      </c>
      <c r="Q4" s="119"/>
      <c r="R4" s="120">
        <f>'CNC mill'!B22</f>
        <v>108020</v>
      </c>
      <c r="S4" s="119">
        <v>10</v>
      </c>
      <c r="T4" s="125">
        <f>R4/S4</f>
        <v>10802</v>
      </c>
    </row>
    <row r="5" spans="1:20" ht="30" customHeight="1" x14ac:dyDescent="0.25">
      <c r="A5" s="225"/>
      <c r="B5" s="410" t="s">
        <v>508</v>
      </c>
      <c r="C5" s="223" t="s">
        <v>522</v>
      </c>
      <c r="D5" s="120" t="e">
        <f>'Manpower &amp; time'!#REF!/'Manpower &amp; time'!#REF!</f>
        <v>#REF!</v>
      </c>
      <c r="E5" s="416" t="s">
        <v>465</v>
      </c>
      <c r="G5" s="44"/>
      <c r="H5" s="128" t="s">
        <v>227</v>
      </c>
      <c r="I5" s="127" t="e">
        <f>#REF!*0.4</f>
        <v>#REF!</v>
      </c>
      <c r="J5" s="130">
        <v>1</v>
      </c>
      <c r="K5" s="131" t="e">
        <f t="shared" si="0"/>
        <v>#REF!</v>
      </c>
      <c r="M5" s="109" t="s">
        <v>233</v>
      </c>
      <c r="N5" s="52">
        <v>22.4</v>
      </c>
      <c r="O5" s="128" t="s">
        <v>187</v>
      </c>
      <c r="P5" s="126" t="s">
        <v>190</v>
      </c>
      <c r="Q5" s="126"/>
      <c r="R5" s="127">
        <f>'CNC mill'!B23*'CNC mill'!C23</f>
        <v>4000</v>
      </c>
      <c r="S5" s="126">
        <v>5</v>
      </c>
      <c r="T5" s="132">
        <f t="shared" ref="T5:T7" si="1">R5/S5</f>
        <v>800</v>
      </c>
    </row>
    <row r="6" spans="1:20" x14ac:dyDescent="0.25">
      <c r="A6" s="225"/>
      <c r="B6" s="411"/>
      <c r="C6" s="128" t="s">
        <v>26</v>
      </c>
      <c r="D6" s="127">
        <f>'Manpower &amp; time'!E16/'Manpower &amp; time'!C16</f>
        <v>43935</v>
      </c>
      <c r="E6" s="417"/>
      <c r="G6" s="44"/>
      <c r="H6" s="128" t="s">
        <v>445</v>
      </c>
      <c r="I6" s="127">
        <f>'Manpower &amp; time'!G19</f>
        <v>17643.938961038977</v>
      </c>
      <c r="J6" s="130">
        <v>1</v>
      </c>
      <c r="K6" s="131">
        <f t="shared" si="0"/>
        <v>17643.938961038977</v>
      </c>
      <c r="M6" s="109" t="s">
        <v>202</v>
      </c>
      <c r="N6" s="53" t="e">
        <f>#REF!</f>
        <v>#REF!</v>
      </c>
      <c r="O6" s="128" t="s">
        <v>188</v>
      </c>
      <c r="P6" s="126" t="s">
        <v>190</v>
      </c>
      <c r="Q6" s="126"/>
      <c r="R6" s="127">
        <f>'CNC mill'!B24</f>
        <v>2500</v>
      </c>
      <c r="S6" s="126">
        <v>5</v>
      </c>
      <c r="T6" s="132">
        <f t="shared" si="1"/>
        <v>500</v>
      </c>
    </row>
    <row r="7" spans="1:20" ht="15.75" thickBot="1" x14ac:dyDescent="0.3">
      <c r="A7" s="225"/>
      <c r="B7" s="411"/>
      <c r="C7" s="128" t="s">
        <v>40</v>
      </c>
      <c r="D7" s="127">
        <f>'Manpower &amp; time'!E17/'Manpower &amp; time'!C17</f>
        <v>50414.805194805194</v>
      </c>
      <c r="E7" s="417"/>
      <c r="G7" s="45"/>
      <c r="H7" s="143" t="s">
        <v>232</v>
      </c>
      <c r="I7" s="134">
        <f>'Manpower &amp; time'!C42</f>
        <v>25482.187012987011</v>
      </c>
      <c r="J7" s="144">
        <v>1</v>
      </c>
      <c r="K7" s="145">
        <f t="shared" si="0"/>
        <v>25482.187012987011</v>
      </c>
      <c r="M7" s="109" t="s">
        <v>203</v>
      </c>
      <c r="N7" s="52">
        <v>5</v>
      </c>
      <c r="O7" s="128" t="s">
        <v>22</v>
      </c>
      <c r="P7" s="126" t="s">
        <v>190</v>
      </c>
      <c r="Q7" s="126" t="s">
        <v>195</v>
      </c>
      <c r="R7" s="127">
        <f>0.05*R4</f>
        <v>5401</v>
      </c>
      <c r="S7" s="126">
        <v>1</v>
      </c>
      <c r="T7" s="132">
        <f t="shared" si="1"/>
        <v>5401</v>
      </c>
    </row>
    <row r="8" spans="1:20" ht="30.75" customHeight="1" thickBot="1" x14ac:dyDescent="0.3">
      <c r="A8" s="225"/>
      <c r="B8" s="412"/>
      <c r="C8" s="128" t="s">
        <v>41</v>
      </c>
      <c r="D8" s="127">
        <f>'Manpower &amp; time'!E18/'Manpower &amp; time'!C18</f>
        <v>59295.584415584402</v>
      </c>
      <c r="E8" s="418"/>
      <c r="G8" s="394" t="s">
        <v>629</v>
      </c>
      <c r="H8" s="148" t="s">
        <v>235</v>
      </c>
      <c r="I8" s="120" t="str">
        <f>Energies!C5</f>
        <v>Subscription total</v>
      </c>
      <c r="J8" s="119">
        <v>1</v>
      </c>
      <c r="K8" s="124" t="e">
        <f t="shared" si="0"/>
        <v>#VALUE!</v>
      </c>
      <c r="M8" s="109" t="s">
        <v>434</v>
      </c>
      <c r="N8" s="54">
        <f>1/10000</f>
        <v>1E-4</v>
      </c>
      <c r="O8" s="128" t="s">
        <v>19</v>
      </c>
      <c r="P8" s="126" t="s">
        <v>191</v>
      </c>
      <c r="Q8" s="126" t="s">
        <v>234</v>
      </c>
      <c r="R8" s="136" t="e">
        <f>N5*0.8*#REF!</f>
        <v>#REF!</v>
      </c>
      <c r="S8" s="126"/>
      <c r="T8" s="137"/>
    </row>
    <row r="9" spans="1:20" x14ac:dyDescent="0.25">
      <c r="A9" s="225"/>
      <c r="B9" s="413" t="s">
        <v>42</v>
      </c>
      <c r="C9" s="121" t="s">
        <v>43</v>
      </c>
      <c r="D9" s="119">
        <v>35</v>
      </c>
      <c r="E9" s="135" t="s">
        <v>501</v>
      </c>
      <c r="G9" s="395"/>
      <c r="H9" s="150" t="s">
        <v>236</v>
      </c>
      <c r="I9" s="140" t="e">
        <f>16*#REF!*#REF!*#REF!</f>
        <v>#REF!</v>
      </c>
      <c r="J9" s="126">
        <v>1</v>
      </c>
      <c r="K9" s="131" t="e">
        <f t="shared" si="0"/>
        <v>#REF!</v>
      </c>
      <c r="M9" s="109" t="s">
        <v>471</v>
      </c>
      <c r="N9" s="54">
        <f>N8*0.5</f>
        <v>5.0000000000000002E-5</v>
      </c>
      <c r="O9" s="128" t="s">
        <v>193</v>
      </c>
      <c r="P9" s="126" t="s">
        <v>191</v>
      </c>
      <c r="Q9" s="126" t="s">
        <v>239</v>
      </c>
      <c r="R9" s="140">
        <v>20</v>
      </c>
      <c r="S9" s="126"/>
      <c r="T9" s="137"/>
    </row>
    <row r="10" spans="1:20" ht="15.75" thickBot="1" x14ac:dyDescent="0.3">
      <c r="A10" s="225"/>
      <c r="B10" s="414"/>
      <c r="C10" s="128" t="s">
        <v>44</v>
      </c>
      <c r="D10" s="138">
        <f>'Manpower &amp; time'!C28</f>
        <v>45.1</v>
      </c>
      <c r="E10" s="139" t="s">
        <v>502</v>
      </c>
      <c r="G10" s="396"/>
      <c r="H10" s="153" t="s">
        <v>376</v>
      </c>
      <c r="I10" s="140">
        <f>Energies!D9*60</f>
        <v>0</v>
      </c>
      <c r="J10" s="126">
        <v>1</v>
      </c>
      <c r="K10" s="131">
        <f t="shared" si="0"/>
        <v>0</v>
      </c>
      <c r="M10" s="109" t="s">
        <v>346</v>
      </c>
      <c r="N10" s="54">
        <f>N8*0.4</f>
        <v>4.0000000000000003E-5</v>
      </c>
      <c r="O10" s="128" t="s">
        <v>192</v>
      </c>
      <c r="P10" s="126" t="s">
        <v>191</v>
      </c>
      <c r="Q10" s="126" t="s">
        <v>275</v>
      </c>
      <c r="R10" s="127">
        <f>1*'CNC mill'!F31</f>
        <v>88.025599999999997</v>
      </c>
      <c r="S10" s="126">
        <v>1</v>
      </c>
      <c r="T10" s="132">
        <f t="shared" ref="T10" si="2">R10/S10</f>
        <v>88.025599999999997</v>
      </c>
    </row>
    <row r="11" spans="1:20" ht="30.75" thickBot="1" x14ac:dyDescent="0.3">
      <c r="A11" s="225"/>
      <c r="B11" s="414"/>
      <c r="C11" s="128" t="s">
        <v>45</v>
      </c>
      <c r="D11" s="141">
        <v>0.8</v>
      </c>
      <c r="E11" s="142" t="s">
        <v>503</v>
      </c>
      <c r="F11" s="225"/>
      <c r="G11" s="397" t="s">
        <v>590</v>
      </c>
      <c r="H11" s="128" t="s">
        <v>484</v>
      </c>
      <c r="I11" s="127">
        <f>SUM('IT&amp;Office'!H3:H4)</f>
        <v>921.2</v>
      </c>
      <c r="J11" s="130">
        <v>1</v>
      </c>
      <c r="K11" s="131">
        <f t="shared" ref="K11" si="3">I11/J11</f>
        <v>921.2</v>
      </c>
      <c r="M11" s="67" t="s">
        <v>220</v>
      </c>
      <c r="N11" s="68">
        <v>20</v>
      </c>
      <c r="O11" s="143"/>
      <c r="P11" s="133"/>
      <c r="Q11" s="133"/>
      <c r="R11" s="133"/>
      <c r="S11" s="133"/>
      <c r="T11" s="149"/>
    </row>
    <row r="12" spans="1:20" ht="15.75" thickBot="1" x14ac:dyDescent="0.3">
      <c r="A12" s="225"/>
      <c r="B12" s="415"/>
      <c r="C12" s="143" t="s">
        <v>221</v>
      </c>
      <c r="D12" s="146">
        <v>0.95</v>
      </c>
      <c r="E12" s="147" t="s">
        <v>504</v>
      </c>
      <c r="F12" s="225"/>
      <c r="G12" s="398"/>
      <c r="H12" s="128" t="s">
        <v>183</v>
      </c>
      <c r="I12" s="127">
        <f>'IT&amp;Office'!H5</f>
        <v>269.89999999999998</v>
      </c>
      <c r="J12" s="130">
        <v>3</v>
      </c>
      <c r="K12" s="131">
        <f>I12/J12</f>
        <v>89.966666666666654</v>
      </c>
      <c r="M12" s="425" t="s">
        <v>18</v>
      </c>
      <c r="N12" s="426"/>
      <c r="O12" s="121" t="s">
        <v>287</v>
      </c>
      <c r="P12" s="119" t="s">
        <v>190</v>
      </c>
      <c r="Q12" s="119"/>
      <c r="R12" s="151">
        <f>'CNC lathe'!B2</f>
        <v>133720</v>
      </c>
      <c r="S12" s="119">
        <v>10</v>
      </c>
      <c r="T12" s="125">
        <f>R12/S12</f>
        <v>13372</v>
      </c>
    </row>
    <row r="13" spans="1:20" x14ac:dyDescent="0.25">
      <c r="A13" s="225"/>
      <c r="B13" s="410" t="s">
        <v>277</v>
      </c>
      <c r="C13" s="121" t="s">
        <v>140</v>
      </c>
      <c r="D13" s="120" t="str">
        <f>Energies!C5</f>
        <v>Subscription total</v>
      </c>
      <c r="E13" s="125"/>
      <c r="F13" s="225"/>
      <c r="G13" s="398"/>
      <c r="H13" s="155" t="s">
        <v>588</v>
      </c>
      <c r="I13" s="127">
        <f>SUM('IT&amp;Office'!H6:H9)</f>
        <v>392.57</v>
      </c>
      <c r="J13" s="130">
        <v>1</v>
      </c>
      <c r="K13" s="131">
        <f>I13/J13</f>
        <v>392.57</v>
      </c>
      <c r="M13" s="107" t="s">
        <v>233</v>
      </c>
      <c r="N13" s="57">
        <v>29.8</v>
      </c>
      <c r="O13" s="128" t="s">
        <v>276</v>
      </c>
      <c r="P13" s="126" t="s">
        <v>190</v>
      </c>
      <c r="Q13" s="126"/>
      <c r="R13" s="127">
        <f>12*'CNC lathe'!B6+6*'CNC lathe'!B7</f>
        <v>19200</v>
      </c>
      <c r="S13" s="126">
        <v>10</v>
      </c>
      <c r="T13" s="132">
        <f>R13/S13</f>
        <v>1920</v>
      </c>
    </row>
    <row r="14" spans="1:20" x14ac:dyDescent="0.25">
      <c r="A14" s="225"/>
      <c r="B14" s="411"/>
      <c r="C14" s="128" t="s">
        <v>141</v>
      </c>
      <c r="D14" s="136" t="str">
        <f>Energies!C6</f>
        <v>Price</v>
      </c>
      <c r="E14" s="152"/>
      <c r="F14" s="225"/>
      <c r="G14" s="398"/>
      <c r="H14" s="128" t="s">
        <v>587</v>
      </c>
      <c r="I14" s="127">
        <f>SUM('IT&amp;Office'!H10:H15)</f>
        <v>19107</v>
      </c>
      <c r="J14" s="130">
        <v>3</v>
      </c>
      <c r="K14" s="131">
        <f>I14/J14</f>
        <v>6369</v>
      </c>
      <c r="M14" s="107" t="s">
        <v>202</v>
      </c>
      <c r="N14" s="58" t="e">
        <f>#REF!</f>
        <v>#REF!</v>
      </c>
      <c r="O14" s="128" t="s">
        <v>289</v>
      </c>
      <c r="P14" s="126" t="s">
        <v>190</v>
      </c>
      <c r="Q14" s="126"/>
      <c r="R14" s="127">
        <f>'CNC lathe'!B8*30</f>
        <v>4800</v>
      </c>
      <c r="S14" s="126">
        <v>5</v>
      </c>
      <c r="T14" s="132">
        <f t="shared" ref="T14:T15" si="4">R14/S14</f>
        <v>960</v>
      </c>
    </row>
    <row r="15" spans="1:20" ht="18" thickBot="1" x14ac:dyDescent="0.3">
      <c r="A15" s="225"/>
      <c r="B15" s="412"/>
      <c r="C15" s="143" t="s">
        <v>467</v>
      </c>
      <c r="D15" s="134">
        <f>Energies!D9</f>
        <v>0</v>
      </c>
      <c r="E15" s="149"/>
      <c r="F15" s="225"/>
      <c r="G15" s="398"/>
      <c r="H15" s="128" t="s">
        <v>33</v>
      </c>
      <c r="I15" s="127">
        <f>'IT&amp;Office'!H17</f>
        <v>1468.8</v>
      </c>
      <c r="J15" s="130">
        <v>1</v>
      </c>
      <c r="K15" s="131">
        <f t="shared" ref="K15:K16" si="5">I15/J15</f>
        <v>1468.8</v>
      </c>
      <c r="M15" s="107" t="s">
        <v>203</v>
      </c>
      <c r="N15" s="57">
        <v>5</v>
      </c>
      <c r="O15" s="128" t="s">
        <v>22</v>
      </c>
      <c r="P15" s="126" t="s">
        <v>190</v>
      </c>
      <c r="Q15" s="126" t="s">
        <v>195</v>
      </c>
      <c r="R15" s="140">
        <f>0.05*R12</f>
        <v>6686</v>
      </c>
      <c r="S15" s="126">
        <v>1</v>
      </c>
      <c r="T15" s="132">
        <f t="shared" si="4"/>
        <v>6686</v>
      </c>
    </row>
    <row r="16" spans="1:20" x14ac:dyDescent="0.25">
      <c r="A16" s="225"/>
      <c r="B16" s="410" t="s">
        <v>278</v>
      </c>
      <c r="C16" s="121" t="s">
        <v>506</v>
      </c>
      <c r="D16" s="123">
        <v>1.2076</v>
      </c>
      <c r="E16" s="135" t="s">
        <v>510</v>
      </c>
      <c r="F16" s="225"/>
      <c r="G16" s="398"/>
      <c r="H16" s="330" t="s">
        <v>345</v>
      </c>
      <c r="I16" s="127">
        <f>SUM('IT&amp;Office'!H18:H19)</f>
        <v>1598.4</v>
      </c>
      <c r="J16" s="130">
        <v>3</v>
      </c>
      <c r="K16" s="131">
        <f t="shared" si="5"/>
        <v>532.80000000000007</v>
      </c>
      <c r="M16" s="107" t="s">
        <v>434</v>
      </c>
      <c r="N16" s="59">
        <f>1/10000</f>
        <v>1E-4</v>
      </c>
      <c r="O16" s="128" t="s">
        <v>19</v>
      </c>
      <c r="P16" s="126" t="s">
        <v>191</v>
      </c>
      <c r="Q16" s="126" t="s">
        <v>234</v>
      </c>
      <c r="R16" s="136" t="e">
        <f>N13*0.8*#REF!</f>
        <v>#REF!</v>
      </c>
      <c r="S16" s="126"/>
      <c r="T16" s="137"/>
    </row>
    <row r="17" spans="1:20" ht="15.75" thickBot="1" x14ac:dyDescent="0.3">
      <c r="A17" s="225"/>
      <c r="B17" s="412"/>
      <c r="C17" s="143" t="s">
        <v>505</v>
      </c>
      <c r="D17" s="146">
        <v>0.2</v>
      </c>
      <c r="E17" s="154" t="s">
        <v>509</v>
      </c>
      <c r="F17" s="225"/>
      <c r="G17" s="398"/>
      <c r="H17" s="336" t="s">
        <v>34</v>
      </c>
      <c r="I17" s="345">
        <v>200</v>
      </c>
      <c r="J17" s="346">
        <v>1</v>
      </c>
      <c r="K17" s="347">
        <f t="shared" ref="K17:K38" si="6">I17/J17</f>
        <v>200</v>
      </c>
      <c r="M17" s="107" t="s">
        <v>470</v>
      </c>
      <c r="N17" s="59">
        <f>N16*0.5</f>
        <v>5.0000000000000002E-5</v>
      </c>
      <c r="O17" s="128" t="s">
        <v>193</v>
      </c>
      <c r="P17" s="126" t="s">
        <v>191</v>
      </c>
      <c r="Q17" s="126" t="s">
        <v>234</v>
      </c>
      <c r="R17" s="140">
        <v>10</v>
      </c>
      <c r="S17" s="126"/>
      <c r="T17" s="137"/>
    </row>
    <row r="18" spans="1:20" ht="15.75" thickBot="1" x14ac:dyDescent="0.3">
      <c r="F18" s="225"/>
      <c r="G18" s="399"/>
      <c r="H18" s="143" t="s">
        <v>279</v>
      </c>
      <c r="I18" s="134">
        <f>SUM('IT&amp;Office'!H23:H29)</f>
        <v>16747.2</v>
      </c>
      <c r="J18" s="133">
        <v>10</v>
      </c>
      <c r="K18" s="145">
        <f t="shared" si="6"/>
        <v>1674.72</v>
      </c>
      <c r="M18" s="107" t="s">
        <v>346</v>
      </c>
      <c r="N18" s="59">
        <f>N16*0.4</f>
        <v>4.0000000000000003E-5</v>
      </c>
      <c r="O18" s="128" t="s">
        <v>192</v>
      </c>
      <c r="P18" s="126" t="s">
        <v>191</v>
      </c>
      <c r="Q18" s="126" t="s">
        <v>275</v>
      </c>
      <c r="R18" s="127">
        <f>'CNC lathe'!F14</f>
        <v>88.025599999999997</v>
      </c>
      <c r="S18" s="126">
        <v>1</v>
      </c>
      <c r="T18" s="132">
        <f>R18/S18</f>
        <v>88.025599999999997</v>
      </c>
    </row>
    <row r="19" spans="1:20" ht="15.75" thickBot="1" x14ac:dyDescent="0.3">
      <c r="G19" s="40" t="s">
        <v>36</v>
      </c>
      <c r="H19" s="157" t="s">
        <v>359</v>
      </c>
      <c r="I19" s="120">
        <f>SUM(Manufacturing!E3:E8)+Manufacturing!E9*4</f>
        <v>16891</v>
      </c>
      <c r="J19" s="119">
        <v>10</v>
      </c>
      <c r="K19" s="124">
        <f t="shared" si="6"/>
        <v>1689.1</v>
      </c>
      <c r="M19" s="102" t="s">
        <v>220</v>
      </c>
      <c r="N19" s="66">
        <v>15</v>
      </c>
      <c r="O19" s="143"/>
      <c r="P19" s="133"/>
      <c r="Q19" s="133"/>
      <c r="R19" s="133"/>
      <c r="S19" s="133"/>
      <c r="T19" s="149"/>
    </row>
    <row r="20" spans="1:20" x14ac:dyDescent="0.25">
      <c r="G20" s="41"/>
      <c r="H20" s="128" t="s">
        <v>347</v>
      </c>
      <c r="I20" s="127">
        <f>Manufacturing!E22</f>
        <v>3259</v>
      </c>
      <c r="J20" s="126">
        <v>10</v>
      </c>
      <c r="K20" s="131">
        <f t="shared" si="6"/>
        <v>325.89999999999998</v>
      </c>
      <c r="M20" s="435" t="s">
        <v>20</v>
      </c>
      <c r="N20" s="436"/>
      <c r="O20" s="121" t="s">
        <v>21</v>
      </c>
      <c r="P20" s="119" t="s">
        <v>190</v>
      </c>
      <c r="Q20" s="119"/>
      <c r="R20" s="120" t="e">
        <f>'Laser cutter'!G4</f>
        <v>#REF!</v>
      </c>
      <c r="S20" s="119">
        <v>10</v>
      </c>
      <c r="T20" s="125" t="e">
        <f>R20/S20</f>
        <v>#REF!</v>
      </c>
    </row>
    <row r="21" spans="1:20" x14ac:dyDescent="0.25">
      <c r="G21" s="41"/>
      <c r="H21" s="128" t="s">
        <v>441</v>
      </c>
      <c r="I21" s="127">
        <f>Manufacturing!E23</f>
        <v>1031.54</v>
      </c>
      <c r="J21" s="126">
        <v>10</v>
      </c>
      <c r="K21" s="131">
        <f t="shared" si="6"/>
        <v>103.154</v>
      </c>
      <c r="M21" s="105" t="s">
        <v>233</v>
      </c>
      <c r="N21" s="60">
        <v>7.5</v>
      </c>
      <c r="O21" s="128" t="s">
        <v>22</v>
      </c>
      <c r="P21" s="126" t="s">
        <v>190</v>
      </c>
      <c r="Q21" s="126" t="s">
        <v>195</v>
      </c>
      <c r="R21" s="127" t="e">
        <f>0.05*R20</f>
        <v>#REF!</v>
      </c>
      <c r="S21" s="126">
        <v>1</v>
      </c>
      <c r="T21" s="132" t="e">
        <f>R21/S21</f>
        <v>#REF!</v>
      </c>
    </row>
    <row r="22" spans="1:20" x14ac:dyDescent="0.25">
      <c r="G22" s="41"/>
      <c r="H22" s="128" t="s">
        <v>268</v>
      </c>
      <c r="I22" s="127">
        <f>Manufacturing!E10*3+Manufacturing!E11*3</f>
        <v>8341.625</v>
      </c>
      <c r="J22" s="126">
        <v>10</v>
      </c>
      <c r="K22" s="131">
        <f t="shared" si="6"/>
        <v>834.16250000000002</v>
      </c>
      <c r="M22" s="105"/>
      <c r="N22" s="60"/>
      <c r="O22" s="128"/>
      <c r="P22" s="126"/>
      <c r="Q22" s="126"/>
      <c r="R22" s="127"/>
      <c r="S22" s="126"/>
      <c r="T22" s="132"/>
    </row>
    <row r="23" spans="1:20" x14ac:dyDescent="0.25">
      <c r="G23" s="41"/>
      <c r="H23" s="155" t="s">
        <v>322</v>
      </c>
      <c r="I23" s="127">
        <f>0.5*I22</f>
        <v>4170.8125</v>
      </c>
      <c r="J23" s="126">
        <v>10</v>
      </c>
      <c r="K23" s="131">
        <f t="shared" si="6"/>
        <v>417.08125000000001</v>
      </c>
      <c r="M23" s="105" t="s">
        <v>202</v>
      </c>
      <c r="N23" s="61">
        <v>0.7</v>
      </c>
      <c r="O23" s="128" t="s">
        <v>23</v>
      </c>
      <c r="P23" s="126" t="s">
        <v>191</v>
      </c>
      <c r="Q23" s="126" t="s">
        <v>234</v>
      </c>
      <c r="R23" s="136" t="e">
        <f>N21*0.8*#REF!</f>
        <v>#REF!</v>
      </c>
      <c r="S23" s="126"/>
      <c r="T23" s="137"/>
    </row>
    <row r="24" spans="1:20" x14ac:dyDescent="0.25">
      <c r="G24" s="41"/>
      <c r="H24" s="128" t="s">
        <v>323</v>
      </c>
      <c r="I24" s="127">
        <v>4000</v>
      </c>
      <c r="J24" s="126">
        <v>5</v>
      </c>
      <c r="K24" s="131">
        <f t="shared" si="6"/>
        <v>800</v>
      </c>
      <c r="M24" s="105"/>
      <c r="N24" s="61"/>
      <c r="O24" s="128"/>
      <c r="P24" s="126"/>
      <c r="Q24" s="126"/>
      <c r="R24" s="136"/>
      <c r="S24" s="126"/>
      <c r="T24" s="137"/>
    </row>
    <row r="25" spans="1:20" x14ac:dyDescent="0.25">
      <c r="G25" s="41"/>
      <c r="H25" s="128" t="s">
        <v>324</v>
      </c>
      <c r="I25" s="127">
        <v>3000</v>
      </c>
      <c r="J25" s="126">
        <v>1</v>
      </c>
      <c r="K25" s="131">
        <f t="shared" si="6"/>
        <v>3000</v>
      </c>
      <c r="M25" s="105"/>
      <c r="N25" s="61"/>
      <c r="O25" s="128"/>
      <c r="P25" s="126"/>
      <c r="Q25" s="126"/>
      <c r="R25" s="136"/>
      <c r="S25" s="126"/>
      <c r="T25" s="137"/>
    </row>
    <row r="26" spans="1:20" x14ac:dyDescent="0.25">
      <c r="G26" s="41"/>
      <c r="H26" s="128" t="s">
        <v>328</v>
      </c>
      <c r="I26" s="127">
        <f>Manufacturing!E21</f>
        <v>2302.5700000000002</v>
      </c>
      <c r="J26" s="126">
        <v>10</v>
      </c>
      <c r="K26" s="131">
        <f t="shared" si="6"/>
        <v>230.25700000000001</v>
      </c>
      <c r="M26" s="105"/>
      <c r="N26" s="61"/>
      <c r="O26" s="128"/>
      <c r="P26" s="126"/>
      <c r="Q26" s="126"/>
      <c r="R26" s="136"/>
      <c r="S26" s="126"/>
      <c r="T26" s="137"/>
    </row>
    <row r="27" spans="1:20" x14ac:dyDescent="0.25">
      <c r="G27" s="41"/>
      <c r="H27" s="128" t="s">
        <v>37</v>
      </c>
      <c r="I27" s="127">
        <f>Manufacturing!E19*6+Manufacturing!E20*3</f>
        <v>7066.95</v>
      </c>
      <c r="J27" s="126">
        <v>10</v>
      </c>
      <c r="K27" s="131">
        <f t="shared" si="6"/>
        <v>706.69499999999994</v>
      </c>
      <c r="M27" s="105" t="s">
        <v>203</v>
      </c>
      <c r="N27" s="60">
        <v>5</v>
      </c>
      <c r="O27" s="128" t="s">
        <v>372</v>
      </c>
      <c r="P27" s="126" t="s">
        <v>191</v>
      </c>
      <c r="Q27" s="126" t="s">
        <v>234</v>
      </c>
      <c r="R27" s="127" t="e">
        <f>'Laser cutter'!G5/20</f>
        <v>#REF!</v>
      </c>
      <c r="S27" s="126"/>
      <c r="T27" s="137"/>
    </row>
    <row r="28" spans="1:20" x14ac:dyDescent="0.25">
      <c r="G28" s="41"/>
      <c r="H28" s="128" t="s">
        <v>340</v>
      </c>
      <c r="I28" s="127">
        <f>Manufacturing!E13*5+Manufacturing!E14+Manufacturing!E15+Manufacturing!E16+Manufacturing!E17*3+Manufacturing!E18*30</f>
        <v>7110.13</v>
      </c>
      <c r="J28" s="126">
        <v>10</v>
      </c>
      <c r="K28" s="131">
        <f t="shared" si="6"/>
        <v>711.01300000000003</v>
      </c>
      <c r="M28" s="105"/>
      <c r="N28" s="60"/>
      <c r="O28" s="128"/>
      <c r="P28" s="126"/>
      <c r="Q28" s="126"/>
      <c r="R28" s="127"/>
      <c r="S28" s="126"/>
      <c r="T28" s="137"/>
    </row>
    <row r="29" spans="1:20" x14ac:dyDescent="0.25">
      <c r="G29" s="41"/>
      <c r="H29" s="153" t="s">
        <v>320</v>
      </c>
      <c r="I29" s="127">
        <f>Manufacturing!E12</f>
        <v>12999</v>
      </c>
      <c r="J29" s="126">
        <v>10</v>
      </c>
      <c r="K29" s="131">
        <f t="shared" si="6"/>
        <v>1299.9000000000001</v>
      </c>
      <c r="M29" s="105"/>
      <c r="N29" s="60"/>
      <c r="O29" s="128"/>
      <c r="P29" s="126"/>
      <c r="Q29" s="126"/>
      <c r="R29" s="127"/>
      <c r="S29" s="126"/>
      <c r="T29" s="137"/>
    </row>
    <row r="30" spans="1:20" x14ac:dyDescent="0.25">
      <c r="G30" s="41"/>
      <c r="H30" s="153" t="s">
        <v>321</v>
      </c>
      <c r="I30" s="127" t="e">
        <f>15*#REF!*#REF!*#REF!</f>
        <v>#REF!</v>
      </c>
      <c r="J30" s="126">
        <v>1</v>
      </c>
      <c r="K30" s="131" t="e">
        <f t="shared" si="6"/>
        <v>#REF!</v>
      </c>
      <c r="M30" s="105"/>
      <c r="N30" s="60"/>
      <c r="O30" s="128"/>
      <c r="P30" s="126"/>
      <c r="Q30" s="126"/>
      <c r="R30" s="127"/>
      <c r="S30" s="126"/>
      <c r="T30" s="137"/>
    </row>
    <row r="31" spans="1:20" ht="15.75" thickBot="1" x14ac:dyDescent="0.3">
      <c r="G31" s="42"/>
      <c r="H31" s="162" t="s">
        <v>443</v>
      </c>
      <c r="I31" s="134">
        <f>2*Manufacturing!E24</f>
        <v>2150</v>
      </c>
      <c r="J31" s="133">
        <v>10</v>
      </c>
      <c r="K31" s="145">
        <f t="shared" si="6"/>
        <v>215</v>
      </c>
      <c r="M31" s="105"/>
      <c r="N31" s="60"/>
      <c r="O31" s="128"/>
      <c r="P31" s="126"/>
      <c r="Q31" s="126"/>
      <c r="R31" s="127"/>
      <c r="S31" s="126"/>
      <c r="T31" s="137"/>
    </row>
    <row r="32" spans="1:20" x14ac:dyDescent="0.25">
      <c r="F32" s="225"/>
      <c r="G32" s="397" t="s">
        <v>29</v>
      </c>
      <c r="H32" s="121" t="s">
        <v>176</v>
      </c>
      <c r="I32" s="122">
        <f>SUM(Metrology!E11:E14)</f>
        <v>2416.6666666666665</v>
      </c>
      <c r="J32" s="123">
        <v>10</v>
      </c>
      <c r="K32" s="124">
        <f t="shared" si="6"/>
        <v>241.66666666666666</v>
      </c>
      <c r="M32" s="105" t="s">
        <v>435</v>
      </c>
      <c r="N32" s="62">
        <v>4.6000000000000001E-4</v>
      </c>
      <c r="O32" s="50"/>
      <c r="P32" s="103"/>
      <c r="Q32" s="103"/>
      <c r="R32" s="103"/>
      <c r="S32" s="103"/>
      <c r="T32" s="70"/>
    </row>
    <row r="33" spans="3:20" x14ac:dyDescent="0.25">
      <c r="F33" s="225"/>
      <c r="G33" s="398"/>
      <c r="H33" s="128" t="s">
        <v>175</v>
      </c>
      <c r="I33" s="129">
        <f>SUM(Metrology!E15:E16)</f>
        <v>1915</v>
      </c>
      <c r="J33" s="130">
        <v>10</v>
      </c>
      <c r="K33" s="131">
        <f t="shared" si="6"/>
        <v>191.5</v>
      </c>
      <c r="M33" s="105" t="s">
        <v>458</v>
      </c>
      <c r="N33" s="63">
        <v>1.5</v>
      </c>
      <c r="O33" s="50"/>
      <c r="P33" s="29"/>
      <c r="Q33" s="103"/>
      <c r="R33" s="29"/>
      <c r="S33" s="103"/>
      <c r="T33" s="71"/>
    </row>
    <row r="34" spans="3:20" x14ac:dyDescent="0.25">
      <c r="F34" s="225"/>
      <c r="G34" s="398"/>
      <c r="H34" s="128" t="s">
        <v>174</v>
      </c>
      <c r="I34" s="129">
        <f>2*SUM(Metrology!E3:E7)</f>
        <v>998.33333333333348</v>
      </c>
      <c r="J34" s="130">
        <v>10</v>
      </c>
      <c r="K34" s="131">
        <f t="shared" si="6"/>
        <v>99.833333333333343</v>
      </c>
      <c r="M34" s="105" t="s">
        <v>459</v>
      </c>
      <c r="N34" s="63">
        <v>1</v>
      </c>
      <c r="O34" s="51"/>
      <c r="P34" s="30"/>
      <c r="Q34" s="30"/>
      <c r="R34" s="30"/>
      <c r="S34" s="30"/>
      <c r="T34" s="72"/>
    </row>
    <row r="35" spans="3:20" ht="15.75" thickBot="1" x14ac:dyDescent="0.3">
      <c r="F35" s="225"/>
      <c r="G35" s="398"/>
      <c r="H35" s="128" t="s">
        <v>32</v>
      </c>
      <c r="I35" s="127">
        <f>Metrology!E18</f>
        <v>48334.81</v>
      </c>
      <c r="J35" s="130">
        <v>10</v>
      </c>
      <c r="K35" s="131">
        <f t="shared" si="6"/>
        <v>4833.4809999999998</v>
      </c>
      <c r="M35" s="73" t="s">
        <v>313</v>
      </c>
      <c r="N35" s="74">
        <v>8</v>
      </c>
      <c r="O35" s="143"/>
      <c r="P35" s="133"/>
      <c r="Q35" s="133"/>
      <c r="R35" s="133"/>
      <c r="S35" s="133"/>
      <c r="T35" s="149"/>
    </row>
    <row r="36" spans="3:20" x14ac:dyDescent="0.25">
      <c r="F36" s="225"/>
      <c r="G36" s="398"/>
      <c r="H36" s="128" t="s">
        <v>177</v>
      </c>
      <c r="I36" s="129">
        <f>SUM(Metrology!E8:E10)</f>
        <v>3343.3333333333335</v>
      </c>
      <c r="J36" s="130">
        <v>10</v>
      </c>
      <c r="K36" s="131">
        <f t="shared" si="6"/>
        <v>334.33333333333337</v>
      </c>
      <c r="M36" s="104" t="s">
        <v>24</v>
      </c>
      <c r="N36" s="106"/>
      <c r="O36" s="121" t="s">
        <v>214</v>
      </c>
      <c r="P36" s="119" t="s">
        <v>190</v>
      </c>
      <c r="Q36" s="119"/>
      <c r="R36" s="120">
        <f>Welding!E4+Welding!E5</f>
        <v>5941.4116666666669</v>
      </c>
      <c r="S36" s="119">
        <v>10</v>
      </c>
      <c r="T36" s="125">
        <f>R36/S36</f>
        <v>594.14116666666666</v>
      </c>
    </row>
    <row r="37" spans="3:20" x14ac:dyDescent="0.25">
      <c r="F37" s="225"/>
      <c r="G37" s="398"/>
      <c r="H37" s="128" t="s">
        <v>178</v>
      </c>
      <c r="I37" s="129">
        <f>2*Metrology!E17</f>
        <v>513.33333333333337</v>
      </c>
      <c r="J37" s="130">
        <v>10</v>
      </c>
      <c r="K37" s="131">
        <f t="shared" si="6"/>
        <v>51.333333333333336</v>
      </c>
      <c r="M37" s="109"/>
      <c r="N37" s="52"/>
      <c r="O37" s="128" t="s">
        <v>35</v>
      </c>
      <c r="P37" s="126" t="s">
        <v>190</v>
      </c>
      <c r="Q37" s="126"/>
      <c r="R37" s="127">
        <f>Welding!E6</f>
        <v>2955.48</v>
      </c>
      <c r="S37" s="126">
        <v>10</v>
      </c>
      <c r="T37" s="132">
        <f t="shared" ref="T37:T41" si="7">R37/S37</f>
        <v>295.548</v>
      </c>
    </row>
    <row r="38" spans="3:20" ht="15.75" thickBot="1" x14ac:dyDescent="0.3">
      <c r="F38" s="225"/>
      <c r="G38" s="399"/>
      <c r="H38" s="143" t="s">
        <v>444</v>
      </c>
      <c r="I38" s="134">
        <f>Metrology!E19</f>
        <v>5390</v>
      </c>
      <c r="J38" s="144">
        <v>10</v>
      </c>
      <c r="K38" s="145">
        <f t="shared" si="6"/>
        <v>539</v>
      </c>
      <c r="M38" s="109" t="s">
        <v>202</v>
      </c>
      <c r="N38" s="53" t="e">
        <f>#REF!</f>
        <v>#REF!</v>
      </c>
      <c r="O38" s="128" t="s">
        <v>219</v>
      </c>
      <c r="P38" s="126" t="s">
        <v>190</v>
      </c>
      <c r="Q38" s="126"/>
      <c r="R38" s="127">
        <f>Welding!E9</f>
        <v>1185</v>
      </c>
      <c r="S38" s="126">
        <v>5</v>
      </c>
      <c r="T38" s="132">
        <f t="shared" si="7"/>
        <v>237</v>
      </c>
    </row>
    <row r="39" spans="3:20" ht="15.75" thickBot="1" x14ac:dyDescent="0.3">
      <c r="M39" s="109" t="s">
        <v>411</v>
      </c>
      <c r="N39" s="64">
        <f>Welding!D28</f>
        <v>0</v>
      </c>
      <c r="O39" s="128" t="s">
        <v>27</v>
      </c>
      <c r="P39" s="126" t="s">
        <v>190</v>
      </c>
      <c r="Q39" s="126"/>
      <c r="R39" s="127">
        <f>Welding!E9+Welding!E10</f>
        <v>1336.7666666666667</v>
      </c>
      <c r="S39" s="126">
        <v>2</v>
      </c>
      <c r="T39" s="132">
        <f t="shared" si="7"/>
        <v>668.38333333333333</v>
      </c>
    </row>
    <row r="40" spans="3:20" ht="15.75" thickBot="1" x14ac:dyDescent="0.3">
      <c r="G40" s="419" t="s">
        <v>468</v>
      </c>
      <c r="H40" s="420"/>
      <c r="I40" s="420"/>
      <c r="J40" s="420"/>
      <c r="K40" s="421"/>
      <c r="M40" s="109"/>
      <c r="N40" s="52"/>
      <c r="O40" s="128" t="s">
        <v>206</v>
      </c>
      <c r="P40" s="126" t="s">
        <v>190</v>
      </c>
      <c r="Q40" s="126"/>
      <c r="R40" s="127">
        <f>Welding!E7</f>
        <v>4350</v>
      </c>
      <c r="S40" s="126">
        <v>10</v>
      </c>
      <c r="T40" s="132">
        <f t="shared" si="7"/>
        <v>435</v>
      </c>
    </row>
    <row r="41" spans="3:20" x14ac:dyDescent="0.25">
      <c r="G41" s="296" t="s">
        <v>280</v>
      </c>
      <c r="H41" s="292" t="s">
        <v>429</v>
      </c>
      <c r="I41" s="292"/>
      <c r="J41" s="293"/>
      <c r="K41" s="124">
        <f>SUM(K32:K39)*1.05</f>
        <v>6605.7050499999996</v>
      </c>
      <c r="M41" s="109"/>
      <c r="N41" s="52"/>
      <c r="O41" s="128" t="s">
        <v>22</v>
      </c>
      <c r="P41" s="126" t="s">
        <v>190</v>
      </c>
      <c r="Q41" s="126" t="s">
        <v>218</v>
      </c>
      <c r="R41" s="127">
        <f>0.03*(R36+R37)</f>
        <v>266.90674999999999</v>
      </c>
      <c r="S41" s="126">
        <v>1</v>
      </c>
      <c r="T41" s="132">
        <f t="shared" si="7"/>
        <v>266.90674999999999</v>
      </c>
    </row>
    <row r="42" spans="3:20" ht="15.75" thickBot="1" x14ac:dyDescent="0.3">
      <c r="G42" s="297"/>
      <c r="H42" s="290" t="s">
        <v>244</v>
      </c>
      <c r="I42" s="290"/>
      <c r="J42" s="291"/>
      <c r="K42" s="145" t="e">
        <f>K41/SUM('Manpower &amp; time'!C38:J38)</f>
        <v>#REF!</v>
      </c>
      <c r="M42" s="109"/>
      <c r="N42" s="52"/>
      <c r="O42" s="128" t="s">
        <v>19</v>
      </c>
      <c r="P42" s="126" t="s">
        <v>191</v>
      </c>
      <c r="Q42" s="126" t="s">
        <v>466</v>
      </c>
      <c r="R42" s="136" t="e">
        <f>(0.75+0.5)*#REF!</f>
        <v>#REF!</v>
      </c>
      <c r="S42" s="126"/>
      <c r="T42" s="137"/>
    </row>
    <row r="43" spans="3:20" x14ac:dyDescent="0.25">
      <c r="G43" s="298" t="s">
        <v>281</v>
      </c>
      <c r="H43" s="293" t="s">
        <v>282</v>
      </c>
      <c r="I43" s="294"/>
      <c r="J43" s="294"/>
      <c r="K43" s="166">
        <f>'Manpower &amp; time'!H16</f>
        <v>27.833386126069051</v>
      </c>
      <c r="M43" s="55"/>
      <c r="N43" s="56"/>
      <c r="O43" s="128" t="s">
        <v>409</v>
      </c>
      <c r="P43" s="405" t="s">
        <v>191</v>
      </c>
      <c r="Q43" s="406" t="s">
        <v>408</v>
      </c>
      <c r="R43" s="127">
        <f>Welding!D25</f>
        <v>0</v>
      </c>
      <c r="S43" s="126"/>
      <c r="T43" s="137"/>
    </row>
    <row r="44" spans="3:20" x14ac:dyDescent="0.25">
      <c r="G44" s="299"/>
      <c r="H44" s="295" t="s">
        <v>293</v>
      </c>
      <c r="I44" s="289"/>
      <c r="J44" s="289"/>
      <c r="K44" s="31">
        <f>'Manpower &amp; time'!H17</f>
        <v>95.815277532097284</v>
      </c>
      <c r="M44" s="158"/>
      <c r="N44" s="159"/>
      <c r="O44" s="128" t="s">
        <v>410</v>
      </c>
      <c r="P44" s="405"/>
      <c r="Q44" s="406"/>
      <c r="R44" s="127" t="e">
        <f>Welding!#REF!</f>
        <v>#REF!</v>
      </c>
      <c r="S44" s="126"/>
      <c r="T44" s="137"/>
    </row>
    <row r="45" spans="3:20" ht="15.75" thickBot="1" x14ac:dyDescent="0.3">
      <c r="C45" s="113"/>
      <c r="G45" s="299"/>
      <c r="H45" s="295" t="s">
        <v>424</v>
      </c>
      <c r="I45" s="289"/>
      <c r="J45" s="289"/>
      <c r="K45" s="31" t="e">
        <f>'Manpower &amp; time'!#REF!</f>
        <v>#REF!</v>
      </c>
      <c r="M45" s="160"/>
      <c r="N45" s="161"/>
      <c r="O45" s="143" t="s">
        <v>207</v>
      </c>
      <c r="P45" s="133" t="s">
        <v>191</v>
      </c>
      <c r="Q45" s="133" t="s">
        <v>408</v>
      </c>
      <c r="R45" s="134">
        <f>Welding!D18</f>
        <v>0.39473684210526316</v>
      </c>
      <c r="S45" s="133"/>
      <c r="T45" s="149"/>
    </row>
    <row r="46" spans="3:20" ht="15.75" thickBot="1" x14ac:dyDescent="0.3">
      <c r="C46" s="113"/>
      <c r="G46" s="300"/>
      <c r="H46" s="291" t="s">
        <v>283</v>
      </c>
      <c r="I46" s="301"/>
      <c r="J46" s="301"/>
      <c r="K46" s="32" t="e">
        <f>'Manpower &amp; time'!#REF!</f>
        <v>#REF!</v>
      </c>
      <c r="M46" s="425" t="s">
        <v>360</v>
      </c>
      <c r="N46" s="426"/>
      <c r="O46" s="121" t="s">
        <v>414</v>
      </c>
      <c r="P46" s="119" t="s">
        <v>190</v>
      </c>
      <c r="Q46" s="119"/>
      <c r="R46" s="151">
        <f>'Conventionnal machinning'!B2</f>
        <v>15000</v>
      </c>
      <c r="S46" s="119">
        <v>10</v>
      </c>
      <c r="T46" s="125">
        <f>R46/S46</f>
        <v>1500</v>
      </c>
    </row>
    <row r="47" spans="3:20" x14ac:dyDescent="0.25">
      <c r="C47" s="113"/>
      <c r="M47" s="107" t="s">
        <v>233</v>
      </c>
      <c r="N47" s="57">
        <v>6</v>
      </c>
      <c r="O47" s="128" t="s">
        <v>420</v>
      </c>
      <c r="P47" s="126" t="s">
        <v>190</v>
      </c>
      <c r="Q47" s="126"/>
      <c r="R47" s="127">
        <f>'Conventionnal machinning'!B3</f>
        <v>10000</v>
      </c>
      <c r="S47" s="126">
        <v>10</v>
      </c>
      <c r="T47" s="132">
        <f>R47/S47</f>
        <v>1000</v>
      </c>
    </row>
    <row r="48" spans="3:20" x14ac:dyDescent="0.25">
      <c r="C48" s="113"/>
      <c r="M48" s="107" t="s">
        <v>202</v>
      </c>
      <c r="N48" s="58">
        <v>0.44</v>
      </c>
      <c r="O48" s="128" t="s">
        <v>427</v>
      </c>
      <c r="P48" s="126" t="s">
        <v>190</v>
      </c>
      <c r="Q48" s="126"/>
      <c r="R48" s="127">
        <f>(R6+R5+R13+R14)*0.25</f>
        <v>7625</v>
      </c>
      <c r="S48" s="126">
        <v>5</v>
      </c>
      <c r="T48" s="132">
        <f t="shared" ref="T48:T49" si="8">R48/S48</f>
        <v>1525</v>
      </c>
    </row>
    <row r="49" spans="3:20" x14ac:dyDescent="0.25">
      <c r="C49" s="113"/>
      <c r="M49" s="107" t="s">
        <v>203</v>
      </c>
      <c r="N49" s="57">
        <v>5</v>
      </c>
      <c r="O49" s="128" t="s">
        <v>22</v>
      </c>
      <c r="P49" s="126" t="s">
        <v>190</v>
      </c>
      <c r="Q49" s="126" t="s">
        <v>421</v>
      </c>
      <c r="R49" s="140">
        <f>0.03*(R47+R46)</f>
        <v>750</v>
      </c>
      <c r="S49" s="126">
        <v>1</v>
      </c>
      <c r="T49" s="132">
        <f t="shared" si="8"/>
        <v>750</v>
      </c>
    </row>
    <row r="50" spans="3:20" x14ac:dyDescent="0.25">
      <c r="M50" s="107" t="s">
        <v>436</v>
      </c>
      <c r="N50" s="59">
        <f>3*1/10000</f>
        <v>2.9999999999999997E-4</v>
      </c>
      <c r="O50" s="128" t="s">
        <v>19</v>
      </c>
      <c r="P50" s="126" t="s">
        <v>191</v>
      </c>
      <c r="Q50" s="126" t="s">
        <v>234</v>
      </c>
      <c r="R50" s="136" t="e">
        <f>N47*0.8*#REF!</f>
        <v>#REF!</v>
      </c>
      <c r="S50" s="126"/>
      <c r="T50" s="137"/>
    </row>
    <row r="51" spans="3:20" ht="15.75" thickBot="1" x14ac:dyDescent="0.3">
      <c r="M51" s="65" t="s">
        <v>220</v>
      </c>
      <c r="N51" s="66">
        <v>10</v>
      </c>
      <c r="O51" s="143" t="s">
        <v>422</v>
      </c>
      <c r="P51" s="133" t="s">
        <v>191</v>
      </c>
      <c r="Q51" s="133" t="s">
        <v>234</v>
      </c>
      <c r="R51" s="165">
        <v>10</v>
      </c>
      <c r="S51" s="133"/>
      <c r="T51" s="149"/>
    </row>
    <row r="52" spans="3:20" ht="15.75" thickBot="1" x14ac:dyDescent="0.3"/>
    <row r="53" spans="3:20" ht="15.75" thickBot="1" x14ac:dyDescent="0.3">
      <c r="M53" s="427" t="s">
        <v>469</v>
      </c>
      <c r="N53" s="428"/>
      <c r="O53" s="428"/>
      <c r="P53" s="428"/>
      <c r="Q53" s="428"/>
      <c r="R53" s="428"/>
      <c r="S53" s="429"/>
    </row>
    <row r="54" spans="3:20" x14ac:dyDescent="0.25">
      <c r="M54" s="430" t="s">
        <v>433</v>
      </c>
      <c r="N54" s="431"/>
      <c r="O54" s="400" t="s">
        <v>252</v>
      </c>
      <c r="P54" s="400"/>
      <c r="Q54" s="400"/>
      <c r="R54" s="400"/>
      <c r="S54" s="23">
        <f>SUM(T4:T7)+T10</f>
        <v>17591.025600000001</v>
      </c>
    </row>
    <row r="55" spans="3:20" x14ac:dyDescent="0.25">
      <c r="M55" s="440" t="s">
        <v>437</v>
      </c>
      <c r="N55" s="441"/>
      <c r="O55" s="401" t="s">
        <v>253</v>
      </c>
      <c r="P55" s="401"/>
      <c r="Q55" s="401"/>
      <c r="R55" s="401"/>
      <c r="S55" s="24" t="e">
        <f>S54/(N6*#REF!*#REF!)+K42</f>
        <v>#REF!</v>
      </c>
    </row>
    <row r="56" spans="3:20" x14ac:dyDescent="0.25">
      <c r="K56" s="167"/>
      <c r="M56" s="15" t="s">
        <v>440</v>
      </c>
      <c r="N56" s="16">
        <v>2.5</v>
      </c>
      <c r="O56" s="401" t="s">
        <v>254</v>
      </c>
      <c r="P56" s="401"/>
      <c r="Q56" s="401"/>
      <c r="R56" s="401"/>
      <c r="S56" s="24" t="e">
        <f>S55+R9+R8</f>
        <v>#REF!</v>
      </c>
    </row>
    <row r="57" spans="3:20" x14ac:dyDescent="0.25">
      <c r="K57" s="167"/>
      <c r="M57" s="15" t="s">
        <v>464</v>
      </c>
      <c r="N57" s="16">
        <v>0.5</v>
      </c>
      <c r="O57" s="401"/>
      <c r="P57" s="401"/>
      <c r="Q57" s="401"/>
      <c r="R57" s="401"/>
      <c r="S57" s="25"/>
    </row>
    <row r="58" spans="3:20" x14ac:dyDescent="0.25">
      <c r="J58" s="168"/>
      <c r="K58" s="167"/>
      <c r="M58" s="169"/>
      <c r="N58" s="170"/>
      <c r="O58" s="401" t="s">
        <v>240</v>
      </c>
      <c r="P58" s="401"/>
      <c r="Q58" s="401"/>
      <c r="R58" s="401"/>
      <c r="S58" s="26" t="e">
        <f>('Manpower &amp; time'!H16+S56)*N8/60</f>
        <v>#REF!</v>
      </c>
    </row>
    <row r="59" spans="3:20" x14ac:dyDescent="0.25">
      <c r="J59" s="171"/>
      <c r="K59" s="167"/>
      <c r="M59" s="169"/>
      <c r="N59" s="170"/>
      <c r="O59" s="401" t="s">
        <v>428</v>
      </c>
      <c r="P59" s="401"/>
      <c r="Q59" s="401"/>
      <c r="R59" s="401"/>
      <c r="S59" s="27" t="e">
        <f>('Manpower &amp; time'!H16)*N8/60/S58</f>
        <v>#REF!</v>
      </c>
    </row>
    <row r="60" spans="3:20" x14ac:dyDescent="0.25">
      <c r="J60" s="172"/>
      <c r="K60" s="167"/>
      <c r="M60" s="169"/>
      <c r="N60" s="170"/>
      <c r="O60" s="401"/>
      <c r="P60" s="401"/>
      <c r="Q60" s="401"/>
      <c r="R60" s="401"/>
      <c r="S60" s="26"/>
    </row>
    <row r="61" spans="3:20" x14ac:dyDescent="0.25">
      <c r="M61" s="169"/>
      <c r="N61" s="170"/>
      <c r="O61" s="401" t="s">
        <v>243</v>
      </c>
      <c r="P61" s="401"/>
      <c r="Q61" s="401"/>
      <c r="R61" s="401"/>
      <c r="S61" s="26" t="e">
        <f>('Manpower &amp; time'!H16+K42)*N9/60</f>
        <v>#REF!</v>
      </c>
    </row>
    <row r="62" spans="3:20" x14ac:dyDescent="0.25">
      <c r="K62" s="173"/>
      <c r="M62" s="169"/>
      <c r="N62" s="170"/>
      <c r="O62" s="401" t="s">
        <v>241</v>
      </c>
      <c r="P62" s="401"/>
      <c r="Q62" s="401"/>
      <c r="R62" s="401"/>
      <c r="S62" s="26" t="e">
        <f>('Manpower &amp; time'!H17+K42)*N9/60</f>
        <v>#REF!</v>
      </c>
    </row>
    <row r="63" spans="3:20" x14ac:dyDescent="0.25">
      <c r="K63" s="174"/>
      <c r="M63" s="169"/>
      <c r="N63" s="170"/>
      <c r="O63" s="401" t="s">
        <v>242</v>
      </c>
      <c r="P63" s="401"/>
      <c r="Q63" s="401"/>
      <c r="R63" s="401"/>
      <c r="S63" s="26" t="e">
        <f>('Manpower &amp; time'!#REF!+K42)*N9/60</f>
        <v>#REF!</v>
      </c>
    </row>
    <row r="64" spans="3:20" x14ac:dyDescent="0.25">
      <c r="K64" s="174"/>
      <c r="M64" s="169"/>
      <c r="N64" s="170"/>
      <c r="O64" s="401" t="s">
        <v>284</v>
      </c>
      <c r="P64" s="401"/>
      <c r="Q64" s="401"/>
      <c r="R64" s="401"/>
      <c r="S64" s="26" t="e">
        <f>('Manpower &amp; time'!H16+K42)*N$10/60</f>
        <v>#REF!</v>
      </c>
    </row>
    <row r="65" spans="7:19" x14ac:dyDescent="0.25">
      <c r="K65" s="174"/>
      <c r="M65" s="169"/>
      <c r="N65" s="170"/>
      <c r="O65" s="401" t="s">
        <v>285</v>
      </c>
      <c r="P65" s="401"/>
      <c r="Q65" s="401"/>
      <c r="R65" s="401"/>
      <c r="S65" s="26" t="e">
        <f>('Manpower &amp; time'!H17+K42)*N$10/60</f>
        <v>#REF!</v>
      </c>
    </row>
    <row r="66" spans="7:19" x14ac:dyDescent="0.25">
      <c r="K66" s="175"/>
      <c r="M66" s="169"/>
      <c r="N66" s="170"/>
      <c r="O66" s="401" t="s">
        <v>286</v>
      </c>
      <c r="P66" s="401"/>
      <c r="Q66" s="401"/>
      <c r="R66" s="401"/>
      <c r="S66" s="26" t="e">
        <f>('Manpower &amp; time'!#REF!+K42)*N$10/60</f>
        <v>#REF!</v>
      </c>
    </row>
    <row r="67" spans="7:19" ht="15.75" thickBot="1" x14ac:dyDescent="0.3">
      <c r="M67" s="160"/>
      <c r="N67" s="176"/>
      <c r="O67" s="402" t="s">
        <v>251</v>
      </c>
      <c r="P67" s="402"/>
      <c r="Q67" s="402"/>
      <c r="R67" s="402"/>
      <c r="S67" s="28" t="e">
        <f>('Manpower &amp; time'!H16+S55)*(N11+N7)/60</f>
        <v>#REF!</v>
      </c>
    </row>
    <row r="68" spans="7:19" x14ac:dyDescent="0.25">
      <c r="M68" s="425" t="s">
        <v>18</v>
      </c>
      <c r="N68" s="442"/>
      <c r="O68" s="400" t="s">
        <v>252</v>
      </c>
      <c r="P68" s="400"/>
      <c r="Q68" s="400"/>
      <c r="R68" s="400"/>
      <c r="S68" s="23">
        <f>SUM(T12:T15)+T18</f>
        <v>23026.025600000001</v>
      </c>
    </row>
    <row r="69" spans="7:19" x14ac:dyDescent="0.25">
      <c r="M69" s="438" t="s">
        <v>437</v>
      </c>
      <c r="N69" s="439"/>
      <c r="O69" s="401" t="s">
        <v>253</v>
      </c>
      <c r="P69" s="401"/>
      <c r="Q69" s="401"/>
      <c r="R69" s="401"/>
      <c r="S69" s="24" t="e">
        <f>S68/(N14*#REF!*#REF!)+K42</f>
        <v>#REF!</v>
      </c>
    </row>
    <row r="70" spans="7:19" x14ac:dyDescent="0.25">
      <c r="K70" s="174"/>
      <c r="M70" s="17" t="s">
        <v>440</v>
      </c>
      <c r="N70" s="18">
        <v>2.5</v>
      </c>
      <c r="O70" s="401" t="s">
        <v>254</v>
      </c>
      <c r="P70" s="401"/>
      <c r="Q70" s="401"/>
      <c r="R70" s="401"/>
      <c r="S70" s="24" t="e">
        <f>S69+R17+R16</f>
        <v>#REF!</v>
      </c>
    </row>
    <row r="71" spans="7:19" x14ac:dyDescent="0.25">
      <c r="M71" s="17" t="s">
        <v>464</v>
      </c>
      <c r="N71" s="18">
        <v>0.5</v>
      </c>
      <c r="O71" s="401"/>
      <c r="P71" s="401"/>
      <c r="Q71" s="401"/>
      <c r="R71" s="401"/>
      <c r="S71" s="25"/>
    </row>
    <row r="72" spans="7:19" x14ac:dyDescent="0.25">
      <c r="G72" s="163"/>
      <c r="M72" s="177"/>
      <c r="N72" s="178"/>
      <c r="O72" s="401" t="s">
        <v>240</v>
      </c>
      <c r="P72" s="401"/>
      <c r="Q72" s="401"/>
      <c r="R72" s="401"/>
      <c r="S72" s="26" t="e">
        <f>(K43+S70)*N16/60</f>
        <v>#REF!</v>
      </c>
    </row>
    <row r="73" spans="7:19" x14ac:dyDescent="0.25">
      <c r="M73" s="177"/>
      <c r="N73" s="178"/>
      <c r="O73" s="401" t="s">
        <v>428</v>
      </c>
      <c r="P73" s="401"/>
      <c r="Q73" s="401"/>
      <c r="R73" s="401"/>
      <c r="S73" s="27" t="e">
        <f>(K43)*N16/60/S72</f>
        <v>#REF!</v>
      </c>
    </row>
    <row r="74" spans="7:19" x14ac:dyDescent="0.25">
      <c r="M74" s="177"/>
      <c r="N74" s="178"/>
      <c r="O74" s="401"/>
      <c r="P74" s="401"/>
      <c r="Q74" s="401"/>
      <c r="R74" s="401"/>
      <c r="S74" s="26"/>
    </row>
    <row r="75" spans="7:19" x14ac:dyDescent="0.25">
      <c r="M75" s="177"/>
      <c r="N75" s="178"/>
      <c r="O75" s="401" t="s">
        <v>243</v>
      </c>
      <c r="P75" s="401"/>
      <c r="Q75" s="401"/>
      <c r="R75" s="401"/>
      <c r="S75" s="26" t="e">
        <f>(K43+K42)*N$17/60</f>
        <v>#REF!</v>
      </c>
    </row>
    <row r="76" spans="7:19" x14ac:dyDescent="0.25">
      <c r="M76" s="177"/>
      <c r="N76" s="178"/>
      <c r="O76" s="401" t="s">
        <v>241</v>
      </c>
      <c r="P76" s="401"/>
      <c r="Q76" s="401"/>
      <c r="R76" s="401"/>
      <c r="S76" s="26" t="e">
        <f>(K44+K42)*N$17/60</f>
        <v>#REF!</v>
      </c>
    </row>
    <row r="77" spans="7:19" x14ac:dyDescent="0.25">
      <c r="M77" s="177"/>
      <c r="N77" s="178"/>
      <c r="O77" s="401" t="s">
        <v>242</v>
      </c>
      <c r="P77" s="401"/>
      <c r="Q77" s="401"/>
      <c r="R77" s="401"/>
      <c r="S77" s="26" t="e">
        <f>(K46+K42)*N$17/60</f>
        <v>#REF!</v>
      </c>
    </row>
    <row r="78" spans="7:19" x14ac:dyDescent="0.25">
      <c r="M78" s="177"/>
      <c r="N78" s="178"/>
      <c r="O78" s="401" t="s">
        <v>284</v>
      </c>
      <c r="P78" s="401"/>
      <c r="Q78" s="401"/>
      <c r="R78" s="401"/>
      <c r="S78" s="26" t="e">
        <f>(K43+K42)*N$18/60</f>
        <v>#REF!</v>
      </c>
    </row>
    <row r="79" spans="7:19" x14ac:dyDescent="0.25">
      <c r="M79" s="177"/>
      <c r="N79" s="178"/>
      <c r="O79" s="401" t="s">
        <v>285</v>
      </c>
      <c r="P79" s="401"/>
      <c r="Q79" s="401"/>
      <c r="R79" s="401"/>
      <c r="S79" s="26" t="e">
        <f>(K44+K42)*N$18/60</f>
        <v>#REF!</v>
      </c>
    </row>
    <row r="80" spans="7:19" x14ac:dyDescent="0.25">
      <c r="M80" s="177"/>
      <c r="N80" s="178"/>
      <c r="O80" s="401" t="s">
        <v>286</v>
      </c>
      <c r="P80" s="401"/>
      <c r="Q80" s="401"/>
      <c r="R80" s="401"/>
      <c r="S80" s="26" t="e">
        <f>(K46+K42)*N$18/60</f>
        <v>#REF!</v>
      </c>
    </row>
    <row r="81" spans="13:20" ht="15.75" thickBot="1" x14ac:dyDescent="0.3">
      <c r="M81" s="177"/>
      <c r="N81" s="178"/>
      <c r="O81" s="403" t="s">
        <v>251</v>
      </c>
      <c r="P81" s="403"/>
      <c r="Q81" s="403"/>
      <c r="R81" s="403"/>
      <c r="S81" s="77" t="e">
        <f>(K43+S69)*(N15+N19)/60</f>
        <v>#REF!</v>
      </c>
    </row>
    <row r="82" spans="13:20" x14ac:dyDescent="0.25">
      <c r="M82" s="435" t="s">
        <v>373</v>
      </c>
      <c r="N82" s="437"/>
      <c r="O82" s="400" t="s">
        <v>252</v>
      </c>
      <c r="P82" s="400"/>
      <c r="Q82" s="400"/>
      <c r="R82" s="400"/>
      <c r="S82" s="23" t="e">
        <f>T20+T21</f>
        <v>#REF!</v>
      </c>
    </row>
    <row r="83" spans="13:20" x14ac:dyDescent="0.25">
      <c r="M83" s="432" t="s">
        <v>438</v>
      </c>
      <c r="N83" s="433"/>
      <c r="O83" s="401" t="s">
        <v>253</v>
      </c>
      <c r="P83" s="401"/>
      <c r="Q83" s="401"/>
      <c r="R83" s="401"/>
      <c r="S83" s="24" t="e">
        <f>S82/(N23*#REF!*#REF!)+K42</f>
        <v>#REF!</v>
      </c>
    </row>
    <row r="84" spans="13:20" x14ac:dyDescent="0.25">
      <c r="M84" s="13" t="s">
        <v>439</v>
      </c>
      <c r="N84" s="14">
        <f>'Laser cutter'!J14</f>
        <v>0.71739130434782605</v>
      </c>
      <c r="O84" s="401" t="s">
        <v>254</v>
      </c>
      <c r="P84" s="401"/>
      <c r="Q84" s="401"/>
      <c r="R84" s="401"/>
      <c r="S84" s="24" t="e">
        <f>S83+R23+R27</f>
        <v>#REF!</v>
      </c>
    </row>
    <row r="85" spans="13:20" x14ac:dyDescent="0.25">
      <c r="M85" s="432"/>
      <c r="N85" s="433"/>
      <c r="O85" s="401"/>
      <c r="P85" s="401"/>
      <c r="Q85" s="401"/>
      <c r="R85" s="401"/>
      <c r="S85" s="25"/>
    </row>
    <row r="86" spans="13:20" x14ac:dyDescent="0.25">
      <c r="M86" s="432"/>
      <c r="N86" s="433"/>
      <c r="O86" s="401" t="s">
        <v>374</v>
      </c>
      <c r="P86" s="401"/>
      <c r="Q86" s="401"/>
      <c r="R86" s="401"/>
      <c r="S86" s="26" t="e">
        <f>(K43*0.4+S84)*N32/60</f>
        <v>#REF!</v>
      </c>
    </row>
    <row r="87" spans="13:20" x14ac:dyDescent="0.25">
      <c r="M87" s="432"/>
      <c r="N87" s="433"/>
      <c r="O87" s="401" t="s">
        <v>428</v>
      </c>
      <c r="P87" s="401"/>
      <c r="Q87" s="401"/>
      <c r="R87" s="401"/>
      <c r="S87" s="27" t="e">
        <f>(K43)*N32/60/S86</f>
        <v>#REF!</v>
      </c>
    </row>
    <row r="88" spans="13:20" x14ac:dyDescent="0.25">
      <c r="M88" s="432"/>
      <c r="N88" s="433"/>
      <c r="O88" s="401"/>
      <c r="P88" s="401"/>
      <c r="Q88" s="401"/>
      <c r="R88" s="401"/>
      <c r="S88" s="137"/>
    </row>
    <row r="89" spans="13:20" x14ac:dyDescent="0.25">
      <c r="M89" s="432"/>
      <c r="N89" s="433"/>
      <c r="O89" s="401" t="s">
        <v>460</v>
      </c>
      <c r="P89" s="401"/>
      <c r="Q89" s="401"/>
      <c r="R89" s="401"/>
      <c r="S89" s="76" t="e">
        <f>(K43+K42)*N33/60</f>
        <v>#REF!</v>
      </c>
    </row>
    <row r="90" spans="13:20" x14ac:dyDescent="0.25">
      <c r="M90" s="432"/>
      <c r="N90" s="433"/>
      <c r="O90" s="401" t="s">
        <v>461</v>
      </c>
      <c r="P90" s="401"/>
      <c r="Q90" s="401"/>
      <c r="R90" s="401"/>
      <c r="S90" s="76" t="e">
        <f>(K44+K42)*N33/60</f>
        <v>#REF!</v>
      </c>
    </row>
    <row r="91" spans="13:20" x14ac:dyDescent="0.25">
      <c r="M91" s="432"/>
      <c r="N91" s="433"/>
      <c r="O91" s="401" t="s">
        <v>462</v>
      </c>
      <c r="P91" s="401"/>
      <c r="Q91" s="401"/>
      <c r="R91" s="401"/>
      <c r="S91" s="76" t="e">
        <f>(K43+K42)*N34/60</f>
        <v>#REF!</v>
      </c>
    </row>
    <row r="92" spans="13:20" x14ac:dyDescent="0.25">
      <c r="M92" s="432"/>
      <c r="N92" s="433"/>
      <c r="O92" s="401" t="s">
        <v>463</v>
      </c>
      <c r="P92" s="401"/>
      <c r="Q92" s="401"/>
      <c r="R92" s="401"/>
      <c r="S92" s="76" t="e">
        <f>(K44+K42)*N$34/60</f>
        <v>#REF!</v>
      </c>
    </row>
    <row r="93" spans="13:20" ht="15.75" thickBot="1" x14ac:dyDescent="0.3">
      <c r="M93" s="179"/>
      <c r="N93" s="180"/>
      <c r="O93" s="402" t="s">
        <v>251</v>
      </c>
      <c r="P93" s="402"/>
      <c r="Q93" s="402"/>
      <c r="R93" s="402"/>
      <c r="S93" s="28" t="e">
        <f>(K43+S83)*(N35+N27)/60</f>
        <v>#REF!</v>
      </c>
    </row>
    <row r="94" spans="13:20" x14ac:dyDescent="0.25">
      <c r="M94" s="440" t="s">
        <v>24</v>
      </c>
      <c r="N94" s="441"/>
      <c r="O94" s="404" t="s">
        <v>252</v>
      </c>
      <c r="P94" s="404"/>
      <c r="Q94" s="404"/>
      <c r="R94" s="404"/>
      <c r="S94" s="181">
        <f>SUM(T36:T41)</f>
        <v>2496.9792499999999</v>
      </c>
    </row>
    <row r="95" spans="13:20" x14ac:dyDescent="0.25">
      <c r="M95" s="109"/>
      <c r="N95" s="110"/>
      <c r="O95" s="401" t="s">
        <v>253</v>
      </c>
      <c r="P95" s="401"/>
      <c r="Q95" s="401"/>
      <c r="R95" s="401"/>
      <c r="S95" s="131" t="e">
        <f>S94/(N38*#REF!*#REF!)+K42</f>
        <v>#REF!</v>
      </c>
      <c r="T95" s="164"/>
    </row>
    <row r="96" spans="13:20" x14ac:dyDescent="0.25">
      <c r="M96" s="169"/>
      <c r="N96" s="170"/>
      <c r="O96" s="401" t="s">
        <v>254</v>
      </c>
      <c r="P96" s="401"/>
      <c r="Q96" s="401"/>
      <c r="R96" s="401"/>
      <c r="S96" s="131" t="e">
        <f>S95+R42</f>
        <v>#REF!</v>
      </c>
    </row>
    <row r="97" spans="13:19" x14ac:dyDescent="0.25">
      <c r="M97" s="169"/>
      <c r="N97" s="170"/>
      <c r="O97" s="401"/>
      <c r="P97" s="401"/>
      <c r="Q97" s="401"/>
      <c r="R97" s="401"/>
      <c r="S97" s="137"/>
    </row>
    <row r="98" spans="13:19" x14ac:dyDescent="0.25">
      <c r="M98" s="169"/>
      <c r="N98" s="170"/>
      <c r="O98" s="401" t="s">
        <v>412</v>
      </c>
      <c r="P98" s="401"/>
      <c r="Q98" s="401"/>
      <c r="R98" s="401"/>
      <c r="S98" s="132" t="e">
        <f>R43+R45+(S96+K45)*N39/60</f>
        <v>#REF!</v>
      </c>
    </row>
    <row r="99" spans="13:19" x14ac:dyDescent="0.25">
      <c r="M99" s="169"/>
      <c r="N99" s="170"/>
      <c r="O99" s="401" t="s">
        <v>413</v>
      </c>
      <c r="P99" s="401"/>
      <c r="Q99" s="401"/>
      <c r="R99" s="401"/>
      <c r="S99" s="131" t="e">
        <f>R44+R45+(S96+K45)*N39/60</f>
        <v>#REF!</v>
      </c>
    </row>
    <row r="100" spans="13:19" ht="15.75" thickBot="1" x14ac:dyDescent="0.3">
      <c r="M100" s="160"/>
      <c r="N100" s="176"/>
      <c r="O100" s="402"/>
      <c r="P100" s="402"/>
      <c r="Q100" s="402"/>
      <c r="R100" s="402"/>
      <c r="S100" s="149"/>
    </row>
    <row r="101" spans="13:19" x14ac:dyDescent="0.25">
      <c r="M101" s="425" t="s">
        <v>360</v>
      </c>
      <c r="N101" s="442"/>
      <c r="O101" s="400" t="s">
        <v>252</v>
      </c>
      <c r="P101" s="400"/>
      <c r="Q101" s="400"/>
      <c r="R101" s="400"/>
      <c r="S101" s="23">
        <f>SUM(T46:T49)</f>
        <v>4775</v>
      </c>
    </row>
    <row r="102" spans="13:19" x14ac:dyDescent="0.25">
      <c r="M102" s="107"/>
      <c r="N102" s="108"/>
      <c r="O102" s="401" t="s">
        <v>253</v>
      </c>
      <c r="P102" s="401"/>
      <c r="Q102" s="401"/>
      <c r="R102" s="401"/>
      <c r="S102" s="24" t="e">
        <f>S101/(N48*#REF!*#REF!)+K42</f>
        <v>#REF!</v>
      </c>
    </row>
    <row r="103" spans="13:19" x14ac:dyDescent="0.25">
      <c r="M103" s="177"/>
      <c r="N103" s="178"/>
      <c r="O103" s="401" t="s">
        <v>254</v>
      </c>
      <c r="P103" s="401"/>
      <c r="Q103" s="401"/>
      <c r="R103" s="401"/>
      <c r="S103" s="24" t="e">
        <f>S102+R51+R50</f>
        <v>#REF!</v>
      </c>
    </row>
    <row r="104" spans="13:19" x14ac:dyDescent="0.25">
      <c r="M104" s="177"/>
      <c r="N104" s="178"/>
      <c r="O104" s="401"/>
      <c r="P104" s="401"/>
      <c r="Q104" s="401"/>
      <c r="R104" s="401"/>
      <c r="S104" s="25"/>
    </row>
    <row r="105" spans="13:19" x14ac:dyDescent="0.25">
      <c r="M105" s="177"/>
      <c r="N105" s="178"/>
      <c r="O105" s="401" t="s">
        <v>240</v>
      </c>
      <c r="P105" s="401"/>
      <c r="Q105" s="401"/>
      <c r="R105" s="401"/>
      <c r="S105" s="26" t="e">
        <f>(K43+S103)*N50/60</f>
        <v>#REF!</v>
      </c>
    </row>
    <row r="106" spans="13:19" ht="15.75" thickBot="1" x14ac:dyDescent="0.3">
      <c r="M106" s="182"/>
      <c r="N106" s="183"/>
      <c r="O106" s="402" t="s">
        <v>251</v>
      </c>
      <c r="P106" s="402"/>
      <c r="Q106" s="402"/>
      <c r="R106" s="402"/>
      <c r="S106" s="28" t="e">
        <f>(K43+S102)*(N49+N51)/60</f>
        <v>#REF!</v>
      </c>
    </row>
  </sheetData>
  <mergeCells count="88">
    <mergeCell ref="O93:R93"/>
    <mergeCell ref="M101:N101"/>
    <mergeCell ref="O101:R101"/>
    <mergeCell ref="O102:R102"/>
    <mergeCell ref="O103:R103"/>
    <mergeCell ref="M94:N94"/>
    <mergeCell ref="O96:R96"/>
    <mergeCell ref="O97:R97"/>
    <mergeCell ref="M69:N69"/>
    <mergeCell ref="M55:N55"/>
    <mergeCell ref="M68:N68"/>
    <mergeCell ref="M83:N83"/>
    <mergeCell ref="M85:N85"/>
    <mergeCell ref="O72:R72"/>
    <mergeCell ref="M89:N89"/>
    <mergeCell ref="M90:N90"/>
    <mergeCell ref="M91:N91"/>
    <mergeCell ref="M92:N92"/>
    <mergeCell ref="M82:N82"/>
    <mergeCell ref="M86:N86"/>
    <mergeCell ref="M87:N87"/>
    <mergeCell ref="M88:N88"/>
    <mergeCell ref="O92:R92"/>
    <mergeCell ref="G2:K2"/>
    <mergeCell ref="M2:T2"/>
    <mergeCell ref="G40:K40"/>
    <mergeCell ref="M46:N46"/>
    <mergeCell ref="O56:R56"/>
    <mergeCell ref="M53:S53"/>
    <mergeCell ref="O54:R54"/>
    <mergeCell ref="O55:R55"/>
    <mergeCell ref="M54:N54"/>
    <mergeCell ref="M4:N4"/>
    <mergeCell ref="M20:N20"/>
    <mergeCell ref="M12:N12"/>
    <mergeCell ref="B2:E2"/>
    <mergeCell ref="B5:B8"/>
    <mergeCell ref="B9:B12"/>
    <mergeCell ref="B13:B15"/>
    <mergeCell ref="B16:B17"/>
    <mergeCell ref="E5:E8"/>
    <mergeCell ref="O94:R94"/>
    <mergeCell ref="O95:R95"/>
    <mergeCell ref="O77:R77"/>
    <mergeCell ref="P43:P44"/>
    <mergeCell ref="Q43:Q44"/>
    <mergeCell ref="O59:R59"/>
    <mergeCell ref="O60:R60"/>
    <mergeCell ref="O73:R73"/>
    <mergeCell ref="O74:R74"/>
    <mergeCell ref="O62:R62"/>
    <mergeCell ref="O63:R63"/>
    <mergeCell ref="O64:R64"/>
    <mergeCell ref="O65:R65"/>
    <mergeCell ref="O68:R68"/>
    <mergeCell ref="O69:R69"/>
    <mergeCell ref="O70:R70"/>
    <mergeCell ref="O106:R106"/>
    <mergeCell ref="O105:R105"/>
    <mergeCell ref="O99:R99"/>
    <mergeCell ref="O100:R100"/>
    <mergeCell ref="O98:R98"/>
    <mergeCell ref="O104:R104"/>
    <mergeCell ref="O83:R83"/>
    <mergeCell ref="O84:R84"/>
    <mergeCell ref="O85:R85"/>
    <mergeCell ref="O91:R91"/>
    <mergeCell ref="O86:R86"/>
    <mergeCell ref="O87:R87"/>
    <mergeCell ref="O88:R88"/>
    <mergeCell ref="O89:R89"/>
    <mergeCell ref="O90:R90"/>
    <mergeCell ref="G8:G10"/>
    <mergeCell ref="G11:G18"/>
    <mergeCell ref="G32:G38"/>
    <mergeCell ref="O82:R82"/>
    <mergeCell ref="O75:R75"/>
    <mergeCell ref="O76:R76"/>
    <mergeCell ref="O78:R78"/>
    <mergeCell ref="O57:R57"/>
    <mergeCell ref="O58:R58"/>
    <mergeCell ref="O67:R67"/>
    <mergeCell ref="O61:R61"/>
    <mergeCell ref="O80:R80"/>
    <mergeCell ref="O81:R81"/>
    <mergeCell ref="O79:R79"/>
    <mergeCell ref="O66:R66"/>
    <mergeCell ref="O71:R7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B13" sqref="B13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3" t="s">
        <v>12</v>
      </c>
    </row>
    <row r="2" spans="1:3" x14ac:dyDescent="0.25">
      <c r="A2" t="s">
        <v>46</v>
      </c>
      <c r="B2" s="2">
        <f>97625+10395</f>
        <v>108020</v>
      </c>
      <c r="C2" s="3" t="s">
        <v>48</v>
      </c>
    </row>
    <row r="3" spans="1:3" x14ac:dyDescent="0.25">
      <c r="A3" t="s">
        <v>47</v>
      </c>
    </row>
    <row r="4" spans="1:3" x14ac:dyDescent="0.25">
      <c r="A4" t="s">
        <v>49</v>
      </c>
      <c r="B4" t="s">
        <v>50</v>
      </c>
      <c r="C4">
        <v>1016</v>
      </c>
    </row>
    <row r="5" spans="1:3" x14ac:dyDescent="0.25">
      <c r="B5" t="s">
        <v>51</v>
      </c>
      <c r="C5">
        <v>660</v>
      </c>
    </row>
    <row r="6" spans="1:3" x14ac:dyDescent="0.25">
      <c r="B6" t="s">
        <v>52</v>
      </c>
      <c r="C6">
        <v>635</v>
      </c>
    </row>
    <row r="7" spans="1:3" x14ac:dyDescent="0.25">
      <c r="A7" t="s">
        <v>53</v>
      </c>
    </row>
    <row r="8" spans="1:3" x14ac:dyDescent="0.25">
      <c r="A8" t="s">
        <v>54</v>
      </c>
    </row>
    <row r="9" spans="1:3" x14ac:dyDescent="0.25">
      <c r="A9" t="s">
        <v>55</v>
      </c>
    </row>
    <row r="10" spans="1:3" x14ac:dyDescent="0.25">
      <c r="A10" t="s">
        <v>56</v>
      </c>
      <c r="B10" t="s">
        <v>50</v>
      </c>
      <c r="C10">
        <v>1372</v>
      </c>
    </row>
    <row r="11" spans="1:3" x14ac:dyDescent="0.25">
      <c r="B11" t="s">
        <v>51</v>
      </c>
      <c r="C11">
        <v>610</v>
      </c>
    </row>
    <row r="12" spans="1:3" x14ac:dyDescent="0.25">
      <c r="A12" t="s">
        <v>57</v>
      </c>
      <c r="B12" t="s">
        <v>58</v>
      </c>
    </row>
    <row r="13" spans="1:3" x14ac:dyDescent="0.25">
      <c r="A13" t="s">
        <v>59</v>
      </c>
      <c r="B13" t="s">
        <v>60</v>
      </c>
    </row>
    <row r="14" spans="1:3" x14ac:dyDescent="0.25">
      <c r="A14" t="s">
        <v>61</v>
      </c>
      <c r="B14" t="s">
        <v>62</v>
      </c>
    </row>
    <row r="15" spans="1:3" x14ac:dyDescent="0.25">
      <c r="A15" t="s">
        <v>63</v>
      </c>
      <c r="B15" t="s">
        <v>64</v>
      </c>
    </row>
    <row r="16" spans="1:3" x14ac:dyDescent="0.25">
      <c r="A16" t="s">
        <v>65</v>
      </c>
      <c r="B16" t="s">
        <v>66</v>
      </c>
    </row>
    <row r="17" spans="1:6" x14ac:dyDescent="0.25">
      <c r="A17" t="s">
        <v>23</v>
      </c>
      <c r="B17" t="s">
        <v>67</v>
      </c>
    </row>
    <row r="19" spans="1:6" x14ac:dyDescent="0.25">
      <c r="A19" t="s">
        <v>98</v>
      </c>
      <c r="B19" t="s">
        <v>99</v>
      </c>
      <c r="C19" t="s">
        <v>100</v>
      </c>
    </row>
    <row r="21" spans="1:6" x14ac:dyDescent="0.25">
      <c r="B21" t="s">
        <v>171</v>
      </c>
      <c r="C21" t="s">
        <v>180</v>
      </c>
      <c r="D21" t="s">
        <v>181</v>
      </c>
    </row>
    <row r="22" spans="1:6" x14ac:dyDescent="0.25">
      <c r="A22" t="s">
        <v>46</v>
      </c>
      <c r="B22" s="2">
        <f>97625+10395</f>
        <v>108020</v>
      </c>
      <c r="C22">
        <v>1</v>
      </c>
      <c r="D22" t="s">
        <v>182</v>
      </c>
    </row>
    <row r="23" spans="1:6" x14ac:dyDescent="0.25">
      <c r="A23" t="s">
        <v>98</v>
      </c>
      <c r="B23" s="2">
        <v>100</v>
      </c>
      <c r="C23">
        <v>40</v>
      </c>
      <c r="D23" s="3" t="s">
        <v>99</v>
      </c>
    </row>
    <row r="24" spans="1:6" x14ac:dyDescent="0.25">
      <c r="A24" t="s">
        <v>80</v>
      </c>
      <c r="B24" s="2">
        <v>2500</v>
      </c>
      <c r="C24">
        <v>1</v>
      </c>
      <c r="D24" s="3" t="s">
        <v>76</v>
      </c>
    </row>
    <row r="27" spans="1:6" x14ac:dyDescent="0.25">
      <c r="A27" t="s">
        <v>68</v>
      </c>
      <c r="B27" t="s">
        <v>75</v>
      </c>
    </row>
    <row r="28" spans="1:6" x14ac:dyDescent="0.25">
      <c r="B28" t="s">
        <v>70</v>
      </c>
      <c r="C28" t="s">
        <v>72</v>
      </c>
      <c r="D28" t="s">
        <v>71</v>
      </c>
      <c r="E28" t="s">
        <v>73</v>
      </c>
    </row>
    <row r="29" spans="1:6" x14ac:dyDescent="0.25">
      <c r="A29" t="s">
        <v>69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74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6" sqref="C6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9" t="s">
        <v>315</v>
      </c>
      <c r="B2" s="2">
        <f>133720</f>
        <v>133720</v>
      </c>
      <c r="C2" t="s">
        <v>314</v>
      </c>
    </row>
    <row r="3" spans="1:6" x14ac:dyDescent="0.25">
      <c r="A3" s="9"/>
      <c r="B3" s="2"/>
    </row>
    <row r="4" spans="1:6" x14ac:dyDescent="0.25">
      <c r="A4" s="9" t="s">
        <v>292</v>
      </c>
      <c r="B4">
        <v>208</v>
      </c>
    </row>
    <row r="5" spans="1:6" x14ac:dyDescent="0.25">
      <c r="B5" t="s">
        <v>162</v>
      </c>
      <c r="C5" t="s">
        <v>181</v>
      </c>
    </row>
    <row r="6" spans="1:6" x14ac:dyDescent="0.25">
      <c r="A6" t="s">
        <v>98</v>
      </c>
      <c r="B6" s="2">
        <v>600</v>
      </c>
      <c r="C6" t="s">
        <v>290</v>
      </c>
    </row>
    <row r="7" spans="1:6" x14ac:dyDescent="0.25">
      <c r="A7" t="s">
        <v>288</v>
      </c>
      <c r="B7" s="2">
        <f>(2500+1500)/2</f>
        <v>2000</v>
      </c>
      <c r="C7" t="s">
        <v>290</v>
      </c>
    </row>
    <row r="8" spans="1:6" x14ac:dyDescent="0.25">
      <c r="A8" t="s">
        <v>289</v>
      </c>
      <c r="B8" s="2">
        <v>160</v>
      </c>
      <c r="C8" t="s">
        <v>291</v>
      </c>
    </row>
    <row r="10" spans="1:6" x14ac:dyDescent="0.25">
      <c r="A10" t="s">
        <v>68</v>
      </c>
      <c r="B10" t="s">
        <v>75</v>
      </c>
    </row>
    <row r="11" spans="1:6" x14ac:dyDescent="0.25">
      <c r="B11" t="s">
        <v>70</v>
      </c>
      <c r="C11" t="s">
        <v>72</v>
      </c>
      <c r="D11" t="s">
        <v>71</v>
      </c>
      <c r="E11" t="s">
        <v>73</v>
      </c>
    </row>
    <row r="12" spans="1:6" x14ac:dyDescent="0.25">
      <c r="A12" t="s">
        <v>69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74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316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9" sqref="H9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84</v>
      </c>
      <c r="C3" t="s">
        <v>198</v>
      </c>
      <c r="D3" t="s">
        <v>197</v>
      </c>
      <c r="E3" t="s">
        <v>196</v>
      </c>
      <c r="F3" t="s">
        <v>170</v>
      </c>
      <c r="G3" t="s">
        <v>171</v>
      </c>
    </row>
    <row r="4" spans="1:19" x14ac:dyDescent="0.25">
      <c r="A4" t="s">
        <v>82</v>
      </c>
      <c r="B4" t="s">
        <v>295</v>
      </c>
      <c r="C4" t="s">
        <v>294</v>
      </c>
      <c r="E4">
        <v>208995</v>
      </c>
      <c r="G4" s="2" t="e">
        <f>E4/Summary!#REF!</f>
        <v>#REF!</v>
      </c>
      <c r="H4" s="3" t="s">
        <v>83</v>
      </c>
      <c r="P4" t="s">
        <v>364</v>
      </c>
      <c r="Q4" t="s">
        <v>363</v>
      </c>
      <c r="R4" t="s">
        <v>365</v>
      </c>
      <c r="S4" t="s">
        <v>366</v>
      </c>
    </row>
    <row r="5" spans="1:19" x14ac:dyDescent="0.25">
      <c r="A5" t="s">
        <v>368</v>
      </c>
      <c r="B5" t="s">
        <v>370</v>
      </c>
      <c r="C5" t="s">
        <v>371</v>
      </c>
      <c r="F5">
        <v>126.82</v>
      </c>
      <c r="G5" s="2" t="e">
        <f>(1-Summary!#REF!)*'Laser cutter'!F5</f>
        <v>#REF!</v>
      </c>
      <c r="H5" s="3" t="s">
        <v>367</v>
      </c>
      <c r="O5" t="s">
        <v>362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369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307</v>
      </c>
      <c r="C9" t="s">
        <v>306</v>
      </c>
      <c r="D9" t="s">
        <v>308</v>
      </c>
      <c r="E9" t="s">
        <v>309</v>
      </c>
    </row>
    <row r="10" spans="1:19" x14ac:dyDescent="0.25">
      <c r="A10" t="s">
        <v>296</v>
      </c>
      <c r="B10" t="s">
        <v>297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298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299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430</v>
      </c>
      <c r="J12" t="s">
        <v>431</v>
      </c>
    </row>
    <row r="13" spans="1:19" x14ac:dyDescent="0.25">
      <c r="B13" t="s">
        <v>300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301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432</v>
      </c>
      <c r="J14" s="12">
        <f>J13/I13</f>
        <v>0.71739130434782605</v>
      </c>
    </row>
    <row r="15" spans="1:19" x14ac:dyDescent="0.25">
      <c r="B15" t="s">
        <v>302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303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304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305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310</v>
      </c>
      <c r="B19" t="s">
        <v>297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298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299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300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301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312</v>
      </c>
      <c r="B24" t="s">
        <v>311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298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299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activeCell="B3" sqref="B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84" t="s">
        <v>25</v>
      </c>
      <c r="B1" s="89" t="s">
        <v>419</v>
      </c>
      <c r="C1" s="85" t="s">
        <v>181</v>
      </c>
    </row>
    <row r="2" spans="1:3" x14ac:dyDescent="0.25">
      <c r="A2" s="82" t="s">
        <v>417</v>
      </c>
      <c r="B2" s="86">
        <v>15000</v>
      </c>
      <c r="C2" s="83" t="s">
        <v>415</v>
      </c>
    </row>
    <row r="3" spans="1:3" ht="15.75" thickBot="1" x14ac:dyDescent="0.3">
      <c r="A3" s="80" t="s">
        <v>418</v>
      </c>
      <c r="B3" s="75">
        <v>10000</v>
      </c>
      <c r="C3" s="81" t="s">
        <v>416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004E-5A23-423F-8E6A-783EC59DF9AE}">
  <sheetPr>
    <tabColor theme="5"/>
  </sheetPr>
  <dimension ref="B1:M26"/>
  <sheetViews>
    <sheetView showGridLines="0" workbookViewId="0">
      <selection activeCell="E22" sqref="E22"/>
    </sheetView>
  </sheetViews>
  <sheetFormatPr baseColWidth="10" defaultRowHeight="15" x14ac:dyDescent="0.25"/>
  <cols>
    <col min="1" max="1" width="3.7109375" customWidth="1"/>
    <col min="2" max="2" width="27.28515625" bestFit="1" customWidth="1"/>
    <col min="3" max="3" width="17.5703125" bestFit="1" customWidth="1"/>
    <col min="4" max="4" width="8.28515625" bestFit="1" customWidth="1"/>
    <col min="5" max="5" width="16.85546875" bestFit="1" customWidth="1"/>
    <col min="6" max="6" width="21" bestFit="1" customWidth="1"/>
  </cols>
  <sheetData>
    <row r="1" spans="2:6" ht="15.75" thickBot="1" x14ac:dyDescent="0.3"/>
    <row r="2" spans="2:6" ht="15.75" thickBot="1" x14ac:dyDescent="0.3">
      <c r="B2" s="342" t="s">
        <v>557</v>
      </c>
      <c r="C2" s="343" t="s">
        <v>556</v>
      </c>
      <c r="D2" s="343" t="s">
        <v>554</v>
      </c>
      <c r="E2" s="343" t="s">
        <v>555</v>
      </c>
      <c r="F2" s="344" t="s">
        <v>558</v>
      </c>
    </row>
    <row r="3" spans="2:6" x14ac:dyDescent="0.25">
      <c r="B3" s="82">
        <v>30</v>
      </c>
      <c r="C3" s="87">
        <v>4.3659999999999997</v>
      </c>
      <c r="D3" s="87">
        <v>18</v>
      </c>
      <c r="E3" s="87">
        <v>19</v>
      </c>
      <c r="F3" s="286">
        <f>2*PI()*(B3/2)/1000*D3</f>
        <v>1.6964600329384882</v>
      </c>
    </row>
    <row r="4" spans="2:6" ht="15" customHeight="1" x14ac:dyDescent="0.25">
      <c r="B4" s="78">
        <v>28</v>
      </c>
      <c r="C4" s="10">
        <f>10.43+0.162</f>
        <v>10.592000000000001</v>
      </c>
      <c r="D4" s="10">
        <v>21</v>
      </c>
      <c r="E4" s="10">
        <v>15.9</v>
      </c>
      <c r="F4" s="280">
        <f t="shared" ref="F4:F8" si="0">2*PI()*(B4/2)/1000*D4</f>
        <v>1.8472564803107983</v>
      </c>
    </row>
    <row r="5" spans="2:6" ht="15" customHeight="1" x14ac:dyDescent="0.25">
      <c r="B5" s="78">
        <v>25</v>
      </c>
      <c r="C5" s="10">
        <f>10.434+0.31</f>
        <v>10.744</v>
      </c>
      <c r="D5" s="10">
        <v>33</v>
      </c>
      <c r="E5" s="10">
        <v>14</v>
      </c>
      <c r="F5" s="280">
        <f t="shared" si="0"/>
        <v>2.5918139392115793</v>
      </c>
    </row>
    <row r="6" spans="2:6" ht="15" customHeight="1" x14ac:dyDescent="0.25">
      <c r="B6" s="78">
        <v>20</v>
      </c>
      <c r="C6" s="10">
        <v>8.3160000000000007</v>
      </c>
      <c r="D6" s="10">
        <v>24</v>
      </c>
      <c r="E6" s="10">
        <v>11.5</v>
      </c>
      <c r="F6" s="280">
        <f t="shared" si="0"/>
        <v>1.5079644737231008</v>
      </c>
    </row>
    <row r="7" spans="2:6" ht="15" customHeight="1" x14ac:dyDescent="0.25">
      <c r="B7" s="78">
        <v>15</v>
      </c>
      <c r="C7" s="10">
        <v>6.101</v>
      </c>
      <c r="D7" s="10">
        <v>16</v>
      </c>
      <c r="E7" s="10">
        <v>9.5</v>
      </c>
      <c r="F7" s="280">
        <f t="shared" si="0"/>
        <v>0.7539822368615503</v>
      </c>
    </row>
    <row r="8" spans="2:6" ht="15.75" thickBot="1" x14ac:dyDescent="0.3">
      <c r="B8" s="80">
        <v>12</v>
      </c>
      <c r="C8" s="22">
        <v>0</v>
      </c>
      <c r="D8" s="22">
        <v>0</v>
      </c>
      <c r="E8" s="22">
        <v>8.5</v>
      </c>
      <c r="F8" s="281">
        <f t="shared" si="0"/>
        <v>0</v>
      </c>
    </row>
    <row r="9" spans="2:6" ht="15.75" thickBot="1" x14ac:dyDescent="0.3">
      <c r="D9" s="278"/>
      <c r="E9" s="278"/>
      <c r="F9" s="278"/>
    </row>
    <row r="10" spans="2:6" x14ac:dyDescent="0.25">
      <c r="B10" s="279" t="s">
        <v>563</v>
      </c>
      <c r="C10" s="282"/>
      <c r="F10" s="494">
        <f>SUM(F3:F8)</f>
        <v>8.3974771630455169</v>
      </c>
    </row>
    <row r="11" spans="2:6" x14ac:dyDescent="0.25">
      <c r="B11" s="78" t="s">
        <v>559</v>
      </c>
      <c r="C11" s="285">
        <f>SUMPRODUCT(C3:C8,E3:E8)</f>
        <v>555.37630000000001</v>
      </c>
    </row>
    <row r="12" spans="2:6" x14ac:dyDescent="0.25">
      <c r="B12" s="78" t="s">
        <v>565</v>
      </c>
      <c r="C12" s="288"/>
    </row>
    <row r="13" spans="2:6" x14ac:dyDescent="0.25">
      <c r="B13" s="78" t="s">
        <v>566</v>
      </c>
      <c r="C13" s="288"/>
    </row>
    <row r="14" spans="2:6" x14ac:dyDescent="0.25">
      <c r="B14" s="78" t="s">
        <v>564</v>
      </c>
      <c r="C14" s="288"/>
    </row>
    <row r="15" spans="2:6" ht="15.75" thickBot="1" x14ac:dyDescent="0.3">
      <c r="B15" s="287" t="s">
        <v>562</v>
      </c>
      <c r="C15" s="281"/>
    </row>
    <row r="18" spans="2:13" x14ac:dyDescent="0.25">
      <c r="K18" s="341"/>
      <c r="L18" s="341"/>
      <c r="M18" s="341"/>
    </row>
    <row r="19" spans="2:13" x14ac:dyDescent="0.25">
      <c r="G19" s="341"/>
      <c r="K19" s="341"/>
      <c r="L19" s="341"/>
      <c r="M19" s="341"/>
    </row>
    <row r="20" spans="2:13" x14ac:dyDescent="0.25">
      <c r="B20" s="278"/>
      <c r="C20" s="278"/>
      <c r="D20" s="278"/>
      <c r="E20" s="278"/>
      <c r="F20" s="278"/>
      <c r="G20" s="341"/>
      <c r="K20" s="341"/>
      <c r="L20" s="341"/>
      <c r="M20" s="341"/>
    </row>
    <row r="21" spans="2:13" x14ac:dyDescent="0.25">
      <c r="B21" s="278"/>
      <c r="C21" s="278"/>
      <c r="D21" s="278"/>
      <c r="E21" s="278"/>
      <c r="F21" s="278"/>
      <c r="K21" s="341"/>
      <c r="L21" s="341"/>
      <c r="M21" s="341"/>
    </row>
    <row r="22" spans="2:13" x14ac:dyDescent="0.25">
      <c r="B22" s="278"/>
      <c r="C22" s="278"/>
      <c r="D22" s="278"/>
      <c r="E22" s="278"/>
      <c r="F22" s="278"/>
      <c r="K22" s="341"/>
      <c r="L22" s="341"/>
      <c r="M22" s="341"/>
    </row>
    <row r="23" spans="2:13" x14ac:dyDescent="0.25">
      <c r="B23" s="278"/>
      <c r="C23" s="278"/>
      <c r="D23" s="278"/>
      <c r="E23" s="278"/>
      <c r="F23" s="278"/>
      <c r="K23" s="341"/>
      <c r="L23" s="341"/>
      <c r="M23" s="341"/>
    </row>
    <row r="24" spans="2:13" x14ac:dyDescent="0.25">
      <c r="B24" s="278"/>
      <c r="C24" s="278"/>
      <c r="D24" s="278"/>
      <c r="E24" s="278"/>
      <c r="F24" s="278"/>
      <c r="K24" s="341"/>
      <c r="L24" s="341"/>
      <c r="M24" s="341"/>
    </row>
    <row r="25" spans="2:13" x14ac:dyDescent="0.25">
      <c r="B25" s="278"/>
      <c r="C25" s="278"/>
      <c r="D25" s="278"/>
      <c r="E25" s="278"/>
      <c r="F25" s="278"/>
    </row>
    <row r="26" spans="2:13" x14ac:dyDescent="0.25">
      <c r="B26" s="278"/>
      <c r="C26" s="278"/>
      <c r="D26" s="278"/>
      <c r="E26" s="278"/>
      <c r="F26" s="27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348A-508F-4576-AF4D-76BB7EA34D19}">
  <sheetPr>
    <tabColor theme="5"/>
  </sheetPr>
  <dimension ref="A1:F24"/>
  <sheetViews>
    <sheetView showGridLines="0" workbookViewId="0">
      <selection activeCell="F34" sqref="F34"/>
    </sheetView>
  </sheetViews>
  <sheetFormatPr baseColWidth="10" defaultRowHeight="15" x14ac:dyDescent="0.25"/>
  <cols>
    <col min="1" max="1" width="3.28515625" customWidth="1"/>
    <col min="2" max="2" width="21.85546875" bestFit="1" customWidth="1"/>
    <col min="3" max="3" width="38.42578125" bestFit="1" customWidth="1"/>
    <col min="4" max="5" width="11.85546875" bestFit="1" customWidth="1"/>
    <col min="6" max="6" width="130.42578125" bestFit="1" customWidth="1"/>
    <col min="8" max="8" width="16.85546875" bestFit="1" customWidth="1"/>
    <col min="10" max="10" width="8.5703125" bestFit="1" customWidth="1"/>
  </cols>
  <sheetData>
    <row r="1" spans="1:6" ht="15.75" thickBot="1" x14ac:dyDescent="0.3"/>
    <row r="2" spans="1:6" ht="15.75" thickBot="1" x14ac:dyDescent="0.3">
      <c r="B2" s="427" t="s">
        <v>591</v>
      </c>
      <c r="C2" s="428"/>
      <c r="D2" s="428"/>
      <c r="E2" s="428"/>
      <c r="F2" s="429"/>
    </row>
    <row r="3" spans="1:6" ht="15.75" thickBot="1" x14ac:dyDescent="0.3">
      <c r="B3" s="240" t="s">
        <v>25</v>
      </c>
      <c r="C3" s="241" t="s">
        <v>198</v>
      </c>
      <c r="D3" s="337" t="s">
        <v>171</v>
      </c>
      <c r="E3" s="337" t="s">
        <v>170</v>
      </c>
      <c r="F3" s="242" t="s">
        <v>181</v>
      </c>
    </row>
    <row r="4" spans="1:6" x14ac:dyDescent="0.25">
      <c r="A4" s="225"/>
      <c r="B4" s="82" t="s">
        <v>592</v>
      </c>
      <c r="C4" s="87" t="s">
        <v>593</v>
      </c>
      <c r="D4" s="86">
        <f t="shared" ref="D4:D12" si="0">E4/1.2</f>
        <v>280.83333333333337</v>
      </c>
      <c r="E4" s="86">
        <v>337</v>
      </c>
      <c r="F4" s="83" t="s">
        <v>594</v>
      </c>
    </row>
    <row r="5" spans="1:6" x14ac:dyDescent="0.25">
      <c r="A5" s="225"/>
      <c r="B5" s="78" t="s">
        <v>595</v>
      </c>
      <c r="C5" s="10" t="s">
        <v>596</v>
      </c>
      <c r="D5" s="11">
        <f t="shared" si="0"/>
        <v>573.33333333333337</v>
      </c>
      <c r="E5" s="11">
        <v>688</v>
      </c>
      <c r="F5" s="79" t="s">
        <v>597</v>
      </c>
    </row>
    <row r="6" spans="1:6" x14ac:dyDescent="0.25">
      <c r="A6" s="225"/>
      <c r="B6" s="78" t="s">
        <v>598</v>
      </c>
      <c r="C6" s="10" t="s">
        <v>599</v>
      </c>
      <c r="D6" s="11">
        <f t="shared" si="0"/>
        <v>158.33333333333334</v>
      </c>
      <c r="E6" s="11">
        <v>190</v>
      </c>
      <c r="F6" s="79" t="s">
        <v>600</v>
      </c>
    </row>
    <row r="7" spans="1:6" x14ac:dyDescent="0.25">
      <c r="A7" s="225"/>
      <c r="B7" s="78" t="s">
        <v>601</v>
      </c>
      <c r="C7" s="10" t="s">
        <v>602</v>
      </c>
      <c r="D7" s="11">
        <f t="shared" si="0"/>
        <v>154.16666666666669</v>
      </c>
      <c r="E7" s="11">
        <v>185</v>
      </c>
      <c r="F7" s="79" t="s">
        <v>603</v>
      </c>
    </row>
    <row r="8" spans="1:6" x14ac:dyDescent="0.25">
      <c r="A8" s="225"/>
      <c r="B8" s="78" t="s">
        <v>604</v>
      </c>
      <c r="C8" s="10" t="s">
        <v>605</v>
      </c>
      <c r="D8" s="11">
        <f t="shared" si="0"/>
        <v>1495.8333333333335</v>
      </c>
      <c r="E8" s="11">
        <v>1795</v>
      </c>
      <c r="F8" s="79" t="s">
        <v>606</v>
      </c>
    </row>
    <row r="9" spans="1:6" x14ac:dyDescent="0.25">
      <c r="A9" s="225"/>
      <c r="B9" s="78" t="s">
        <v>607</v>
      </c>
      <c r="C9" s="10" t="s">
        <v>608</v>
      </c>
      <c r="D9" s="11">
        <f t="shared" si="0"/>
        <v>14.916666666666666</v>
      </c>
      <c r="E9" s="11">
        <v>17.899999999999999</v>
      </c>
      <c r="F9" s="79" t="s">
        <v>609</v>
      </c>
    </row>
    <row r="10" spans="1:6" x14ac:dyDescent="0.25">
      <c r="A10" s="225"/>
      <c r="B10" s="78" t="s">
        <v>607</v>
      </c>
      <c r="C10" s="10" t="s">
        <v>610</v>
      </c>
      <c r="D10" s="11">
        <f t="shared" si="0"/>
        <v>15.75</v>
      </c>
      <c r="E10" s="11">
        <v>18.899999999999999</v>
      </c>
      <c r="F10" s="79" t="s">
        <v>611</v>
      </c>
    </row>
    <row r="11" spans="1:6" x14ac:dyDescent="0.25">
      <c r="A11" s="225"/>
      <c r="B11" s="78" t="s">
        <v>612</v>
      </c>
      <c r="C11" s="10" t="s">
        <v>613</v>
      </c>
      <c r="D11" s="11">
        <f t="shared" si="0"/>
        <v>14.083333333333332</v>
      </c>
      <c r="E11" s="11">
        <v>16.899999999999999</v>
      </c>
      <c r="F11" s="79" t="s">
        <v>614</v>
      </c>
    </row>
    <row r="12" spans="1:6" ht="15.75" thickBot="1" x14ac:dyDescent="0.3">
      <c r="A12" s="225"/>
      <c r="B12" s="80" t="s">
        <v>615</v>
      </c>
      <c r="C12" s="22"/>
      <c r="D12" s="75">
        <f t="shared" si="0"/>
        <v>1746.25</v>
      </c>
      <c r="E12" s="75">
        <v>2095.5</v>
      </c>
      <c r="F12" s="81" t="s">
        <v>616</v>
      </c>
    </row>
    <row r="13" spans="1:6" ht="15.75" thickBot="1" x14ac:dyDescent="0.3">
      <c r="D13" s="2"/>
      <c r="E13" s="2"/>
      <c r="F13" s="3"/>
    </row>
    <row r="14" spans="1:6" ht="15.75" thickBot="1" x14ac:dyDescent="0.3">
      <c r="B14" s="427" t="s">
        <v>568</v>
      </c>
      <c r="C14" s="428"/>
      <c r="D14" s="428"/>
      <c r="E14" s="428"/>
      <c r="F14" s="429"/>
    </row>
    <row r="15" spans="1:6" ht="15.75" thickBot="1" x14ac:dyDescent="0.3">
      <c r="B15" s="240" t="s">
        <v>25</v>
      </c>
      <c r="C15" s="241" t="s">
        <v>198</v>
      </c>
      <c r="D15" s="337" t="s">
        <v>171</v>
      </c>
      <c r="E15" s="337" t="s">
        <v>170</v>
      </c>
      <c r="F15" s="242" t="s">
        <v>181</v>
      </c>
    </row>
    <row r="16" spans="1:6" x14ac:dyDescent="0.25">
      <c r="B16" s="82" t="s">
        <v>617</v>
      </c>
      <c r="C16" s="338" t="s">
        <v>618</v>
      </c>
      <c r="D16" s="86"/>
      <c r="E16" s="86"/>
      <c r="F16" s="286"/>
    </row>
    <row r="17" spans="1:6" x14ac:dyDescent="0.25">
      <c r="A17" s="225"/>
      <c r="B17" s="78" t="s">
        <v>619</v>
      </c>
      <c r="C17" s="10" t="s">
        <v>620</v>
      </c>
      <c r="D17" s="11">
        <f>E17/1.2</f>
        <v>25675</v>
      </c>
      <c r="E17" s="11">
        <v>30810</v>
      </c>
      <c r="F17" s="79" t="s">
        <v>621</v>
      </c>
    </row>
    <row r="18" spans="1:6" ht="15.75" thickBot="1" x14ac:dyDescent="0.3">
      <c r="A18" s="225"/>
      <c r="B18" s="80" t="s">
        <v>622</v>
      </c>
      <c r="C18" s="22" t="s">
        <v>623</v>
      </c>
      <c r="D18" s="75">
        <f>E18/1.2</f>
        <v>5825</v>
      </c>
      <c r="E18" s="75">
        <v>6990</v>
      </c>
      <c r="F18" s="81" t="s">
        <v>624</v>
      </c>
    </row>
    <row r="19" spans="1:6" x14ac:dyDescent="0.25">
      <c r="D19" s="2"/>
      <c r="E19" s="2"/>
    </row>
    <row r="20" spans="1:6" ht="15.75" thickBot="1" x14ac:dyDescent="0.3">
      <c r="D20" s="2"/>
      <c r="E20" s="2"/>
    </row>
    <row r="21" spans="1:6" ht="15.75" thickBot="1" x14ac:dyDescent="0.3">
      <c r="B21" s="427" t="s">
        <v>544</v>
      </c>
      <c r="C21" s="428"/>
      <c r="D21" s="428"/>
      <c r="E21" s="428"/>
      <c r="F21" s="429"/>
    </row>
    <row r="22" spans="1:6" ht="15.75" thickBot="1" x14ac:dyDescent="0.3">
      <c r="B22" s="240" t="s">
        <v>25</v>
      </c>
      <c r="C22" s="241" t="s">
        <v>198</v>
      </c>
      <c r="D22" s="337" t="s">
        <v>171</v>
      </c>
      <c r="E22" s="337" t="s">
        <v>170</v>
      </c>
      <c r="F22" s="242" t="s">
        <v>181</v>
      </c>
    </row>
    <row r="23" spans="1:6" x14ac:dyDescent="0.25">
      <c r="B23" s="82" t="s">
        <v>625</v>
      </c>
      <c r="C23" s="338" t="s">
        <v>626</v>
      </c>
      <c r="D23" s="86"/>
      <c r="E23" s="86"/>
      <c r="F23" s="286"/>
    </row>
    <row r="24" spans="1:6" ht="15.75" thickBot="1" x14ac:dyDescent="0.3">
      <c r="B24" s="80" t="s">
        <v>627</v>
      </c>
      <c r="C24" s="339" t="s">
        <v>628</v>
      </c>
      <c r="D24" s="75"/>
      <c r="E24" s="22"/>
      <c r="F24" s="281"/>
    </row>
  </sheetData>
  <mergeCells count="3">
    <mergeCell ref="B2:F2"/>
    <mergeCell ref="B14:F14"/>
    <mergeCell ref="B21:F21"/>
  </mergeCells>
  <hyperlinks>
    <hyperlink ref="F4" r:id="rId1" xr:uid="{DF4E008A-D17E-4850-B3FF-3DA3921AC6CD}"/>
    <hyperlink ref="F5" r:id="rId2" xr:uid="{B5AE1446-4158-4F4D-A77D-A871E5BFB7B6}"/>
    <hyperlink ref="F7" r:id="rId3" xr:uid="{5B284E7B-162B-43EB-9FB7-37355D4C0733}"/>
    <hyperlink ref="F8" r:id="rId4" xr:uid="{58A63A4B-DD3D-4A72-BEE9-F2BBA10E1019}"/>
    <hyperlink ref="F18" r:id="rId5" xr:uid="{68DAC979-58F2-4927-9CA3-677AAAB4A8E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topLeftCell="B1" workbookViewId="0">
      <selection activeCell="C4" sqref="C4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271</v>
      </c>
    </row>
    <row r="2" spans="1:23" x14ac:dyDescent="0.25">
      <c r="A2" t="s">
        <v>0</v>
      </c>
      <c r="G2" t="s">
        <v>9</v>
      </c>
      <c r="M2" t="s">
        <v>6</v>
      </c>
      <c r="S2" s="8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269</v>
      </c>
      <c r="S3" t="s">
        <v>4</v>
      </c>
      <c r="T3" t="s">
        <v>1</v>
      </c>
      <c r="U3" t="s">
        <v>270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245</v>
      </c>
      <c r="S15" t="s">
        <v>6</v>
      </c>
      <c r="T15" t="s">
        <v>245</v>
      </c>
      <c r="U15" t="s">
        <v>446</v>
      </c>
    </row>
    <row r="16" spans="1:23" x14ac:dyDescent="0.25">
      <c r="D16" t="s">
        <v>8</v>
      </c>
      <c r="E16" s="1">
        <f>AVERAGE(E4:E15)</f>
        <v>3.7201299982926756E-5</v>
      </c>
      <c r="N16" t="s">
        <v>246</v>
      </c>
      <c r="O16" t="s">
        <v>2</v>
      </c>
      <c r="P16" t="s">
        <v>71</v>
      </c>
      <c r="Q16" t="s">
        <v>3</v>
      </c>
      <c r="S16" t="s">
        <v>447</v>
      </c>
      <c r="T16" t="s">
        <v>448</v>
      </c>
      <c r="U16" t="s">
        <v>449</v>
      </c>
      <c r="V16" t="s">
        <v>450</v>
      </c>
    </row>
    <row r="17" spans="1:22" x14ac:dyDescent="0.25">
      <c r="N17">
        <v>5</v>
      </c>
      <c r="O17">
        <v>500</v>
      </c>
      <c r="P17" s="2">
        <v>1.61</v>
      </c>
      <c r="Q17" s="7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7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247</v>
      </c>
      <c r="B19" t="s">
        <v>245</v>
      </c>
      <c r="N19">
        <v>15</v>
      </c>
      <c r="O19">
        <v>500</v>
      </c>
      <c r="P19" s="2">
        <v>4.8</v>
      </c>
      <c r="Q19" s="7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246</v>
      </c>
      <c r="C20" t="s">
        <v>2</v>
      </c>
      <c r="D20" t="s">
        <v>71</v>
      </c>
      <c r="E20" t="s">
        <v>3</v>
      </c>
      <c r="N20">
        <v>18</v>
      </c>
      <c r="O20">
        <v>500</v>
      </c>
      <c r="P20" s="2">
        <v>6.36</v>
      </c>
      <c r="Q20" s="7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7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7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7">
        <f t="shared" si="6"/>
        <v>5.3157750992693033E-5</v>
      </c>
      <c r="P22" t="s">
        <v>8</v>
      </c>
      <c r="Q22" s="7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7">
        <f t="shared" si="6"/>
        <v>5.5077256063922563E-5</v>
      </c>
      <c r="P23" s="2"/>
      <c r="S23">
        <v>6060</v>
      </c>
      <c r="T23" t="s">
        <v>451</v>
      </c>
    </row>
    <row r="24" spans="1:22" x14ac:dyDescent="0.25">
      <c r="B24">
        <v>25</v>
      </c>
      <c r="C24">
        <v>500</v>
      </c>
      <c r="D24" s="2">
        <v>13.11</v>
      </c>
      <c r="E24" s="7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7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7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7">
        <f t="shared" si="6"/>
        <v>3.338486055256606E-5</v>
      </c>
      <c r="U27" s="2"/>
      <c r="V27" s="1"/>
    </row>
    <row r="28" spans="1:22" x14ac:dyDescent="0.25">
      <c r="D28" t="s">
        <v>8</v>
      </c>
      <c r="E28" s="7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274</v>
      </c>
      <c r="G30" s="3" t="s">
        <v>273</v>
      </c>
      <c r="N30" s="3" t="s">
        <v>383</v>
      </c>
    </row>
    <row r="31" spans="1:22" x14ac:dyDescent="0.25">
      <c r="A31" t="s">
        <v>272</v>
      </c>
      <c r="B31" t="s">
        <v>245</v>
      </c>
      <c r="G31" t="s">
        <v>272</v>
      </c>
      <c r="H31" t="s">
        <v>245</v>
      </c>
      <c r="N31" t="s">
        <v>384</v>
      </c>
      <c r="O31" t="s">
        <v>245</v>
      </c>
    </row>
    <row r="32" spans="1:22" x14ac:dyDescent="0.25">
      <c r="B32" t="s">
        <v>246</v>
      </c>
      <c r="C32" t="s">
        <v>2</v>
      </c>
      <c r="D32" t="s">
        <v>71</v>
      </c>
      <c r="E32" t="s">
        <v>3</v>
      </c>
      <c r="H32" t="s">
        <v>246</v>
      </c>
      <c r="I32" t="s">
        <v>2</v>
      </c>
      <c r="J32" t="s">
        <v>71</v>
      </c>
      <c r="K32" t="s">
        <v>3</v>
      </c>
      <c r="O32" t="s">
        <v>246</v>
      </c>
      <c r="P32" t="s">
        <v>2</v>
      </c>
      <c r="Q32" t="s">
        <v>71</v>
      </c>
      <c r="R32" t="s">
        <v>452</v>
      </c>
    </row>
    <row r="33" spans="1:18" x14ac:dyDescent="0.25">
      <c r="B33">
        <v>10</v>
      </c>
      <c r="C33">
        <v>1000</v>
      </c>
      <c r="D33" s="2">
        <v>20.5</v>
      </c>
      <c r="E33" s="7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7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7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7">
        <f t="shared" si="7"/>
        <v>2.2132484273716698E-4</v>
      </c>
      <c r="H34">
        <v>16</v>
      </c>
      <c r="I34">
        <v>300</v>
      </c>
      <c r="J34" s="2">
        <v>15.77</v>
      </c>
      <c r="K34" s="7">
        <f t="shared" si="8"/>
        <v>2.6144515130824893E-4</v>
      </c>
      <c r="O34">
        <v>20</v>
      </c>
      <c r="P34">
        <v>1000</v>
      </c>
      <c r="Q34" s="2">
        <v>9.23</v>
      </c>
      <c r="R34" s="7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7">
        <f t="shared" si="7"/>
        <v>2.1247184902768027E-4</v>
      </c>
      <c r="H35">
        <v>20</v>
      </c>
      <c r="I35">
        <v>300</v>
      </c>
      <c r="J35" s="2">
        <v>23.4</v>
      </c>
      <c r="K35" s="7">
        <f t="shared" si="8"/>
        <v>2.4828171122335673E-4</v>
      </c>
      <c r="O35">
        <v>25</v>
      </c>
      <c r="P35">
        <v>1000</v>
      </c>
      <c r="Q35" s="2">
        <v>14.44</v>
      </c>
      <c r="R35" s="7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7">
        <f t="shared" si="7"/>
        <v>2.0013734093805838E-4</v>
      </c>
      <c r="H36">
        <v>40</v>
      </c>
      <c r="I36">
        <v>300</v>
      </c>
      <c r="J36" s="2">
        <v>81.7</v>
      </c>
      <c r="K36" s="7">
        <f t="shared" si="8"/>
        <v>2.1671598084346415E-4</v>
      </c>
      <c r="O36">
        <v>40</v>
      </c>
      <c r="P36">
        <v>1000</v>
      </c>
      <c r="Q36" s="2">
        <v>34.869999999999997</v>
      </c>
      <c r="R36" s="7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7">
        <f t="shared" si="7"/>
        <v>1.9862536897868538E-4</v>
      </c>
      <c r="J37" t="s">
        <v>8</v>
      </c>
      <c r="K37" s="7">
        <f>AVERAGE(K33:K36)</f>
        <v>2.8145391181008314E-4</v>
      </c>
      <c r="O37">
        <v>60</v>
      </c>
      <c r="P37">
        <v>1000</v>
      </c>
      <c r="Q37" s="2">
        <v>83.14</v>
      </c>
      <c r="R37" s="7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7">
        <f t="shared" si="7"/>
        <v>1.9805948473658087E-4</v>
      </c>
      <c r="J38" s="2"/>
      <c r="K38" s="7"/>
      <c r="O38">
        <v>80</v>
      </c>
      <c r="P38">
        <v>1000</v>
      </c>
      <c r="Q38" s="2">
        <v>139.55000000000001</v>
      </c>
      <c r="R38" s="7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7">
        <f t="shared" si="7"/>
        <v>1.9745160127338264E-4</v>
      </c>
      <c r="J39" s="2"/>
      <c r="K39" s="7"/>
      <c r="Q39" t="s">
        <v>8</v>
      </c>
      <c r="R39" s="7">
        <f>AVERAGE(R33:R38)</f>
        <v>2.8834566715532905E-5</v>
      </c>
    </row>
    <row r="40" spans="1:18" x14ac:dyDescent="0.25">
      <c r="D40" t="s">
        <v>8</v>
      </c>
      <c r="E40" s="7">
        <f>AVERAGE(E33:E39)</f>
        <v>2.1272637062318042E-4</v>
      </c>
      <c r="K40" s="7"/>
    </row>
    <row r="43" spans="1:18" x14ac:dyDescent="0.25">
      <c r="A43" s="3" t="s">
        <v>385</v>
      </c>
    </row>
    <row r="44" spans="1:18" x14ac:dyDescent="0.25">
      <c r="A44" t="s">
        <v>386</v>
      </c>
      <c r="B44" t="s">
        <v>387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388</v>
      </c>
      <c r="G48" t="s">
        <v>389</v>
      </c>
    </row>
    <row r="49" spans="1:10" x14ac:dyDescent="0.25">
      <c r="A49" t="s">
        <v>390</v>
      </c>
      <c r="B49" t="s">
        <v>71</v>
      </c>
      <c r="C49" t="s">
        <v>391</v>
      </c>
      <c r="D49" t="s">
        <v>453</v>
      </c>
      <c r="G49" t="s">
        <v>390</v>
      </c>
      <c r="H49" t="s">
        <v>392</v>
      </c>
      <c r="I49" t="s">
        <v>393</v>
      </c>
      <c r="J49" t="s">
        <v>3</v>
      </c>
    </row>
    <row r="50" spans="1:10" x14ac:dyDescent="0.25">
      <c r="A50" t="s">
        <v>394</v>
      </c>
      <c r="B50" s="2">
        <v>86.4</v>
      </c>
      <c r="C50">
        <f>60*25*3020</f>
        <v>4530000</v>
      </c>
      <c r="D50" s="1">
        <f>B50/C50</f>
        <v>1.9072847682119207E-5</v>
      </c>
      <c r="G50" t="s">
        <v>395</v>
      </c>
      <c r="H50" s="6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396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397</v>
      </c>
      <c r="H51" s="6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398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399</v>
      </c>
      <c r="H52" s="6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400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401</v>
      </c>
      <c r="H53" s="6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400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402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402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402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403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403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403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454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455</v>
      </c>
    </row>
    <row r="65" spans="1:7" x14ac:dyDescent="0.25">
      <c r="A65" t="s">
        <v>4</v>
      </c>
      <c r="B65" t="s">
        <v>1</v>
      </c>
      <c r="C65" t="s">
        <v>2</v>
      </c>
      <c r="D65" t="s">
        <v>456</v>
      </c>
      <c r="E65" t="s">
        <v>7</v>
      </c>
      <c r="F65" t="s">
        <v>3</v>
      </c>
      <c r="G65" t="s">
        <v>181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457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L48"/>
  <sheetViews>
    <sheetView showGridLines="0" zoomScale="90" workbookViewId="0">
      <selection activeCell="C29" sqref="C29"/>
    </sheetView>
  </sheetViews>
  <sheetFormatPr baseColWidth="10" defaultRowHeight="15" x14ac:dyDescent="0.25"/>
  <cols>
    <col min="1" max="1" width="2.85546875" style="184" customWidth="1"/>
    <col min="2" max="2" width="43.7109375" style="202" bestFit="1" customWidth="1"/>
    <col min="3" max="3" width="9.140625" style="185" bestFit="1" customWidth="1"/>
    <col min="4" max="4" width="19.140625" style="185" bestFit="1" customWidth="1"/>
    <col min="5" max="5" width="39.5703125" style="185" bestFit="1" customWidth="1"/>
    <col min="6" max="6" width="20.28515625" style="185" bestFit="1" customWidth="1"/>
    <col min="7" max="7" width="26" style="185" bestFit="1" customWidth="1"/>
    <col min="8" max="8" width="28.42578125" style="185" bestFit="1" customWidth="1"/>
    <col min="9" max="9" width="20.7109375" style="185" bestFit="1" customWidth="1"/>
    <col min="10" max="10" width="10.5703125" style="185" bestFit="1" customWidth="1"/>
    <col min="11" max="11" width="13.140625" style="185" bestFit="1" customWidth="1"/>
    <col min="12" max="12" width="6.7109375" style="185" bestFit="1" customWidth="1"/>
    <col min="13" max="13" width="11.42578125" style="185"/>
    <col min="14" max="14" width="18" style="185" bestFit="1" customWidth="1"/>
    <col min="15" max="15" width="19.42578125" style="185" bestFit="1" customWidth="1"/>
    <col min="16" max="16" width="11.42578125" style="185"/>
    <col min="17" max="17" width="12.5703125" style="185" bestFit="1" customWidth="1"/>
    <col min="18" max="16384" width="11.42578125" style="185"/>
  </cols>
  <sheetData>
    <row r="1" spans="1:8" ht="15.75" thickBot="1" x14ac:dyDescent="0.3"/>
    <row r="2" spans="1:8" ht="15.75" thickBot="1" x14ac:dyDescent="0.3">
      <c r="A2" s="197"/>
      <c r="B2" s="455" t="s">
        <v>518</v>
      </c>
      <c r="C2" s="457"/>
      <c r="D2" s="457"/>
      <c r="E2" s="457"/>
      <c r="F2" s="456"/>
    </row>
    <row r="3" spans="1:8" ht="15.75" thickBot="1" x14ac:dyDescent="0.3">
      <c r="A3" s="197"/>
      <c r="B3" s="201" t="s">
        <v>25</v>
      </c>
      <c r="C3" s="458" t="s">
        <v>181</v>
      </c>
      <c r="D3" s="459"/>
      <c r="E3" s="459"/>
      <c r="F3" s="460"/>
    </row>
    <row r="4" spans="1:8" x14ac:dyDescent="0.25">
      <c r="A4" s="197"/>
      <c r="B4" s="203" t="s">
        <v>130</v>
      </c>
      <c r="C4" s="461" t="s">
        <v>93</v>
      </c>
      <c r="D4" s="462"/>
      <c r="E4" s="462"/>
      <c r="F4" s="463"/>
    </row>
    <row r="5" spans="1:8" x14ac:dyDescent="0.25">
      <c r="A5" s="197"/>
      <c r="B5" s="204" t="s">
        <v>499</v>
      </c>
      <c r="C5" s="464" t="s">
        <v>500</v>
      </c>
      <c r="D5" s="446"/>
      <c r="E5" s="446"/>
      <c r="F5" s="447"/>
    </row>
    <row r="6" spans="1:8" x14ac:dyDescent="0.25">
      <c r="A6" s="197"/>
      <c r="B6" s="204" t="s">
        <v>133</v>
      </c>
      <c r="C6" s="464" t="s">
        <v>132</v>
      </c>
      <c r="D6" s="446"/>
      <c r="E6" s="446"/>
      <c r="F6" s="447"/>
    </row>
    <row r="7" spans="1:8" x14ac:dyDescent="0.25">
      <c r="A7" s="197"/>
      <c r="B7" s="450" t="s">
        <v>524</v>
      </c>
      <c r="C7" s="445" t="s">
        <v>525</v>
      </c>
      <c r="D7" s="446"/>
      <c r="E7" s="446"/>
      <c r="F7" s="447"/>
    </row>
    <row r="8" spans="1:8" x14ac:dyDescent="0.25">
      <c r="A8" s="197"/>
      <c r="B8" s="451"/>
      <c r="C8" s="445" t="s">
        <v>528</v>
      </c>
      <c r="D8" s="453"/>
      <c r="E8" s="453"/>
      <c r="F8" s="454"/>
    </row>
    <row r="9" spans="1:8" x14ac:dyDescent="0.25">
      <c r="A9" s="197"/>
      <c r="B9" s="452"/>
      <c r="C9" s="445" t="s">
        <v>527</v>
      </c>
      <c r="D9" s="448"/>
      <c r="E9" s="448"/>
      <c r="F9" s="449"/>
    </row>
    <row r="10" spans="1:8" x14ac:dyDescent="0.25">
      <c r="A10" s="197"/>
      <c r="B10" s="205" t="s">
        <v>511</v>
      </c>
      <c r="C10" s="464" t="s">
        <v>512</v>
      </c>
      <c r="D10" s="446"/>
      <c r="E10" s="446"/>
      <c r="F10" s="447"/>
    </row>
    <row r="11" spans="1:8" ht="15.75" thickBot="1" x14ac:dyDescent="0.3">
      <c r="A11" s="197"/>
      <c r="B11" s="206" t="s">
        <v>497</v>
      </c>
      <c r="C11" s="465" t="s">
        <v>498</v>
      </c>
      <c r="D11" s="466"/>
      <c r="E11" s="466"/>
      <c r="F11" s="467"/>
    </row>
    <row r="12" spans="1:8" ht="15.75" thickBot="1" x14ac:dyDescent="0.3"/>
    <row r="13" spans="1:8" ht="15.75" thickBot="1" x14ac:dyDescent="0.3">
      <c r="A13" s="197"/>
      <c r="B13" s="455" t="s">
        <v>519</v>
      </c>
      <c r="C13" s="457"/>
      <c r="D13" s="457"/>
      <c r="E13" s="457"/>
      <c r="F13" s="457"/>
      <c r="G13" s="457"/>
      <c r="H13" s="456"/>
    </row>
    <row r="14" spans="1:8" ht="15.75" thickBot="1" x14ac:dyDescent="0.3">
      <c r="A14" s="197"/>
      <c r="B14" s="229" t="s">
        <v>472</v>
      </c>
      <c r="C14" s="186" t="s">
        <v>520</v>
      </c>
      <c r="D14" s="186" t="s">
        <v>530</v>
      </c>
      <c r="E14" s="186" t="s">
        <v>521</v>
      </c>
      <c r="F14" s="186" t="s">
        <v>229</v>
      </c>
      <c r="G14" s="186" t="s">
        <v>426</v>
      </c>
      <c r="H14" s="187" t="s">
        <v>640</v>
      </c>
    </row>
    <row r="15" spans="1:8" ht="30" x14ac:dyDescent="0.25">
      <c r="B15" s="262" t="s">
        <v>534</v>
      </c>
      <c r="C15" s="263">
        <v>1</v>
      </c>
      <c r="D15" s="264">
        <f>1633/0.77</f>
        <v>2120.7792207792209</v>
      </c>
      <c r="E15" s="265">
        <f t="shared" ref="E15" si="0">C15*D15*12*1.45</f>
        <v>36901.558441558438</v>
      </c>
      <c r="F15" s="266">
        <f>L33</f>
        <v>4.5</v>
      </c>
      <c r="G15" s="267">
        <f>E15*(1-Summary!$D$12)*F15</f>
        <v>8302.8506493506557</v>
      </c>
      <c r="H15" s="268">
        <f>E15*Summary!$D$12/$C$29</f>
        <v>23.377610669343323</v>
      </c>
    </row>
    <row r="16" spans="1:8" ht="30" x14ac:dyDescent="0.25">
      <c r="B16" s="230" t="s">
        <v>533</v>
      </c>
      <c r="C16" s="200">
        <v>2</v>
      </c>
      <c r="D16" s="188">
        <v>2525</v>
      </c>
      <c r="E16" s="188">
        <f>C16*D16*12*1.45</f>
        <v>87870</v>
      </c>
      <c r="F16" s="198">
        <f t="shared" ref="F16:F17" si="1">L34</f>
        <v>1</v>
      </c>
      <c r="G16" s="189"/>
      <c r="H16" s="258">
        <f>E16*Summary!$D$12/($C$29*C16)</f>
        <v>27.833386126069051</v>
      </c>
    </row>
    <row r="17" spans="1:12" x14ac:dyDescent="0.25">
      <c r="B17" s="207" t="s">
        <v>529</v>
      </c>
      <c r="C17" s="200">
        <v>3</v>
      </c>
      <c r="D17" s="227">
        <f>2231/0.77</f>
        <v>2897.4025974025972</v>
      </c>
      <c r="E17" s="188">
        <f t="shared" ref="E17:E18" si="2">C17*D17*12*1.45</f>
        <v>151244.41558441558</v>
      </c>
      <c r="F17" s="198">
        <f t="shared" si="1"/>
        <v>1</v>
      </c>
      <c r="G17" s="228">
        <f>E17*(1-Summary!$D$12)*F17</f>
        <v>7562.2207792207855</v>
      </c>
      <c r="H17" s="258">
        <f>E17*Summary!$D$12/$C$29</f>
        <v>95.815277532097284</v>
      </c>
    </row>
    <row r="18" spans="1:12" ht="15.75" thickBot="1" x14ac:dyDescent="0.3">
      <c r="B18" s="209" t="s">
        <v>526</v>
      </c>
      <c r="C18" s="269">
        <v>1</v>
      </c>
      <c r="D18" s="270">
        <f>2624/0.77</f>
        <v>3407.7922077922076</v>
      </c>
      <c r="E18" s="271">
        <f t="shared" si="2"/>
        <v>59295.584415584402</v>
      </c>
      <c r="F18" s="220">
        <v>0.6</v>
      </c>
      <c r="G18" s="272">
        <f>E18*(1-Summary!$D$12)*F18</f>
        <v>1778.8675324675335</v>
      </c>
      <c r="H18" s="273">
        <f>E18*Summary!$D$12/$C$29</f>
        <v>37.564513408669242</v>
      </c>
    </row>
    <row r="19" spans="1:12" ht="15.75" thickBot="1" x14ac:dyDescent="0.3">
      <c r="E19" s="259" t="s">
        <v>222</v>
      </c>
      <c r="F19" s="260" t="e">
        <f>SUM(#REF!+F17+F16)</f>
        <v>#REF!</v>
      </c>
      <c r="G19" s="261">
        <f>SUM(G15:G18)</f>
        <v>17643.938961038977</v>
      </c>
    </row>
    <row r="20" spans="1:12" ht="15.75" thickBot="1" x14ac:dyDescent="0.3"/>
    <row r="21" spans="1:12" ht="15.75" thickBot="1" x14ac:dyDescent="0.3">
      <c r="A21" s="197"/>
      <c r="B21" s="455" t="s">
        <v>473</v>
      </c>
      <c r="C21" s="456"/>
      <c r="E21" s="190"/>
    </row>
    <row r="22" spans="1:12" ht="15.75" thickBot="1" x14ac:dyDescent="0.3">
      <c r="A22" s="197"/>
      <c r="B22" s="201" t="s">
        <v>16</v>
      </c>
      <c r="C22" s="187" t="s">
        <v>39</v>
      </c>
      <c r="E22" s="190"/>
    </row>
    <row r="23" spans="1:12" x14ac:dyDescent="0.25">
      <c r="A23" s="197"/>
      <c r="B23" s="207" t="s">
        <v>134</v>
      </c>
      <c r="C23" s="191">
        <v>365</v>
      </c>
    </row>
    <row r="24" spans="1:12" x14ac:dyDescent="0.25">
      <c r="A24" s="197"/>
      <c r="B24" s="204" t="s">
        <v>135</v>
      </c>
      <c r="C24" s="192">
        <v>104</v>
      </c>
      <c r="E24" s="190"/>
    </row>
    <row r="25" spans="1:12" x14ac:dyDescent="0.25">
      <c r="A25" s="197"/>
      <c r="B25" s="204" t="s">
        <v>136</v>
      </c>
      <c r="C25" s="192">
        <v>8</v>
      </c>
    </row>
    <row r="26" spans="1:12" x14ac:dyDescent="0.25">
      <c r="A26" s="197"/>
      <c r="B26" s="204" t="s">
        <v>531</v>
      </c>
      <c r="C26" s="192">
        <v>27.5</v>
      </c>
    </row>
    <row r="27" spans="1:12" x14ac:dyDescent="0.25">
      <c r="A27" s="197"/>
      <c r="B27" s="204" t="s">
        <v>137</v>
      </c>
      <c r="C27" s="192">
        <f>C23-C24-C25-C26</f>
        <v>225.5</v>
      </c>
    </row>
    <row r="28" spans="1:12" x14ac:dyDescent="0.25">
      <c r="A28" s="197"/>
      <c r="B28" s="204" t="s">
        <v>138</v>
      </c>
      <c r="C28" s="193">
        <f>C27/5</f>
        <v>45.1</v>
      </c>
    </row>
    <row r="29" spans="1:12" ht="15.75" thickBot="1" x14ac:dyDescent="0.3">
      <c r="B29" s="206" t="s">
        <v>425</v>
      </c>
      <c r="C29" s="257">
        <f>Summary!D12*Summary!D10*Summary!D9</f>
        <v>1499.575</v>
      </c>
    </row>
    <row r="30" spans="1:12" ht="15.75" thickBot="1" x14ac:dyDescent="0.3"/>
    <row r="31" spans="1:12" ht="15.75" thickBot="1" x14ac:dyDescent="0.3">
      <c r="B31" s="455" t="s">
        <v>475</v>
      </c>
      <c r="C31" s="457"/>
      <c r="D31" s="457"/>
      <c r="E31" s="457"/>
      <c r="F31" s="457"/>
      <c r="G31" s="457"/>
      <c r="H31" s="457"/>
      <c r="I31" s="457"/>
      <c r="J31" s="457"/>
      <c r="K31" s="457"/>
      <c r="L31" s="456"/>
    </row>
    <row r="32" spans="1:12" ht="30.75" thickBot="1" x14ac:dyDescent="0.3">
      <c r="B32" s="208"/>
      <c r="C32" s="186" t="s">
        <v>223</v>
      </c>
      <c r="D32" s="186" t="s">
        <v>224</v>
      </c>
      <c r="E32" s="231" t="s">
        <v>532</v>
      </c>
      <c r="F32" s="186" t="s">
        <v>361</v>
      </c>
      <c r="G32" s="186" t="s">
        <v>360</v>
      </c>
      <c r="H32" s="186" t="s">
        <v>225</v>
      </c>
      <c r="I32" s="186" t="s">
        <v>226</v>
      </c>
      <c r="J32" s="186" t="s">
        <v>29</v>
      </c>
      <c r="K32" s="194" t="s">
        <v>22</v>
      </c>
      <c r="L32" s="195" t="s">
        <v>228</v>
      </c>
    </row>
    <row r="33" spans="1:12" x14ac:dyDescent="0.25">
      <c r="B33" s="210" t="s">
        <v>131</v>
      </c>
      <c r="C33" s="211">
        <v>0.85</v>
      </c>
      <c r="D33" s="198">
        <v>0.85</v>
      </c>
      <c r="E33" s="198">
        <v>0.3</v>
      </c>
      <c r="F33" s="198">
        <v>0.85</v>
      </c>
      <c r="G33" s="198">
        <v>0.47</v>
      </c>
      <c r="H33" s="198"/>
      <c r="I33" s="198">
        <v>0.65</v>
      </c>
      <c r="J33" s="198">
        <v>0.41</v>
      </c>
      <c r="K33" s="212">
        <v>0.12</v>
      </c>
      <c r="L33" s="213">
        <f>SUM(C33:K33)</f>
        <v>4.5</v>
      </c>
    </row>
    <row r="34" spans="1:12" x14ac:dyDescent="0.25">
      <c r="B34" s="214" t="s">
        <v>529</v>
      </c>
      <c r="C34" s="215"/>
      <c r="D34" s="199"/>
      <c r="E34" s="199"/>
      <c r="F34" s="199"/>
      <c r="G34" s="199"/>
      <c r="H34" s="199"/>
      <c r="I34" s="199">
        <v>0.5</v>
      </c>
      <c r="J34" s="199">
        <v>0.5</v>
      </c>
      <c r="K34" s="216"/>
      <c r="L34" s="217">
        <f t="shared" ref="L34:L37" si="3">SUM(C34:K34)</f>
        <v>1</v>
      </c>
    </row>
    <row r="35" spans="1:12" x14ac:dyDescent="0.25">
      <c r="B35" s="214" t="s">
        <v>423</v>
      </c>
      <c r="C35" s="215"/>
      <c r="D35" s="199"/>
      <c r="E35" s="199"/>
      <c r="F35" s="199"/>
      <c r="G35" s="199"/>
      <c r="H35" s="199">
        <v>0.85</v>
      </c>
      <c r="I35" s="199"/>
      <c r="J35" s="199">
        <v>0.05</v>
      </c>
      <c r="K35" s="216">
        <v>0.1</v>
      </c>
      <c r="L35" s="217">
        <f t="shared" si="3"/>
        <v>1</v>
      </c>
    </row>
    <row r="36" spans="1:12" x14ac:dyDescent="0.25">
      <c r="B36" s="214" t="s">
        <v>205</v>
      </c>
      <c r="C36" s="215"/>
      <c r="D36" s="199"/>
      <c r="E36" s="199"/>
      <c r="F36" s="199"/>
      <c r="G36" s="199"/>
      <c r="H36" s="199"/>
      <c r="I36" s="199">
        <v>0.35</v>
      </c>
      <c r="J36" s="199">
        <v>0.15</v>
      </c>
      <c r="K36" s="216">
        <v>0.1</v>
      </c>
      <c r="L36" s="217">
        <f t="shared" si="3"/>
        <v>0.6</v>
      </c>
    </row>
    <row r="37" spans="1:12" x14ac:dyDescent="0.25">
      <c r="B37" s="214" t="s">
        <v>476</v>
      </c>
      <c r="C37" s="215">
        <f t="shared" ref="C37:K37" si="4">$C$29*SUM(C33:C36)</f>
        <v>1274.6387500000001</v>
      </c>
      <c r="D37" s="199">
        <f t="shared" si="4"/>
        <v>1274.6387500000001</v>
      </c>
      <c r="E37" s="199">
        <f t="shared" si="4"/>
        <v>449.8725</v>
      </c>
      <c r="F37" s="199">
        <f t="shared" si="4"/>
        <v>1274.6387500000001</v>
      </c>
      <c r="G37" s="199">
        <f t="shared" si="4"/>
        <v>704.80025000000001</v>
      </c>
      <c r="H37" s="199">
        <f t="shared" si="4"/>
        <v>1274.6387500000001</v>
      </c>
      <c r="I37" s="199">
        <f t="shared" si="4"/>
        <v>2249.3625000000002</v>
      </c>
      <c r="J37" s="199">
        <f t="shared" si="4"/>
        <v>1664.5282499999998</v>
      </c>
      <c r="K37" s="216">
        <f t="shared" si="4"/>
        <v>479.86400000000003</v>
      </c>
      <c r="L37" s="217">
        <f t="shared" si="3"/>
        <v>10646.9825</v>
      </c>
    </row>
    <row r="38" spans="1:12" x14ac:dyDescent="0.25">
      <c r="B38" s="214" t="s">
        <v>477</v>
      </c>
      <c r="C38" s="215" t="e">
        <f>Summary!#REF!*Summary!#REF!*Summary!#REF!</f>
        <v>#REF!</v>
      </c>
      <c r="D38" s="199" t="e">
        <f>Summary!#REF!*Summary!#REF!*Summary!#REF!</f>
        <v>#REF!</v>
      </c>
      <c r="E38" s="199" t="e">
        <f>Summary!N23*Summary!#REF!*Summary!#REF!</f>
        <v>#REF!</v>
      </c>
      <c r="F38" s="199" t="e">
        <f>Summary!#REF!*Summary!#REF!*Summary!#REF!</f>
        <v>#REF!</v>
      </c>
      <c r="G38" s="199" t="e">
        <f>Summary!N48*Summary!#REF!*Summary!#REF!</f>
        <v>#REF!</v>
      </c>
      <c r="H38" s="199" t="e">
        <f>Summary!#REF!*Summary!#REF!*Summary!#REF!</f>
        <v>#REF!</v>
      </c>
      <c r="I38" s="199" t="e">
        <f>0.5*C38*2+0.9*E38</f>
        <v>#REF!</v>
      </c>
      <c r="J38" s="199" t="e">
        <f>2*0.4*C38+E38*0.6</f>
        <v>#REF!</v>
      </c>
      <c r="K38" s="216" t="e">
        <f>0.06*Summary!#REF!*Summary!#REF!*5</f>
        <v>#REF!</v>
      </c>
      <c r="L38" s="217" t="e">
        <f>SUM(C38:K38)-E38+E39</f>
        <v>#REF!</v>
      </c>
    </row>
    <row r="39" spans="1:12" ht="15.75" thickBot="1" x14ac:dyDescent="0.3">
      <c r="B39" s="218"/>
      <c r="C39" s="219"/>
      <c r="D39" s="220"/>
      <c r="E39" s="220"/>
      <c r="F39" s="220"/>
      <c r="G39" s="220"/>
      <c r="H39" s="220"/>
      <c r="I39" s="220"/>
      <c r="J39" s="220"/>
      <c r="K39" s="221"/>
      <c r="L39" s="222"/>
    </row>
    <row r="40" spans="1:12" ht="15.75" thickBot="1" x14ac:dyDescent="0.3"/>
    <row r="41" spans="1:12" ht="15.75" thickBot="1" x14ac:dyDescent="0.3">
      <c r="B41" s="443" t="s">
        <v>474</v>
      </c>
      <c r="C41" s="444"/>
    </row>
    <row r="42" spans="1:12" ht="15.75" thickBot="1" x14ac:dyDescent="0.3">
      <c r="B42" s="209" t="s">
        <v>230</v>
      </c>
      <c r="C42" s="274">
        <f>SUMPRODUCT(E15:E18*K33:K36)</f>
        <v>25482.187012987011</v>
      </c>
    </row>
    <row r="44" spans="1:12" x14ac:dyDescent="0.25">
      <c r="A44" s="196"/>
      <c r="C44" s="190"/>
    </row>
    <row r="45" spans="1:12" x14ac:dyDescent="0.25">
      <c r="A45" s="196"/>
    </row>
    <row r="46" spans="1:12" x14ac:dyDescent="0.25">
      <c r="A46" s="196"/>
    </row>
    <row r="47" spans="1:12" x14ac:dyDescent="0.25">
      <c r="A47" s="196"/>
    </row>
    <row r="48" spans="1:12" x14ac:dyDescent="0.25">
      <c r="A48" s="196"/>
    </row>
  </sheetData>
  <mergeCells count="15">
    <mergeCell ref="B2:F2"/>
    <mergeCell ref="B13:H13"/>
    <mergeCell ref="C3:F3"/>
    <mergeCell ref="C4:F4"/>
    <mergeCell ref="C5:F5"/>
    <mergeCell ref="C6:F6"/>
    <mergeCell ref="C10:F10"/>
    <mergeCell ref="C11:F11"/>
    <mergeCell ref="B41:C41"/>
    <mergeCell ref="C7:F7"/>
    <mergeCell ref="C9:F9"/>
    <mergeCell ref="B7:B9"/>
    <mergeCell ref="C8:F8"/>
    <mergeCell ref="B21:C21"/>
    <mergeCell ref="B31:L31"/>
  </mergeCells>
  <hyperlinks>
    <hyperlink ref="C4" r:id="rId1" xr:uid="{00000000-0004-0000-0100-000000000000}"/>
    <hyperlink ref="C5" r:id="rId2" xr:uid="{57BD7899-887D-43DC-B562-ADBB9658383C}"/>
    <hyperlink ref="C11" r:id="rId3" xr:uid="{8217434D-7C07-4E8C-BA90-49CA24347AAE}"/>
    <hyperlink ref="C6" r:id="rId4" xr:uid="{5A1E2311-D9D5-4C0B-BC94-4A8AC4615E00}"/>
    <hyperlink ref="C7" r:id="rId5" xr:uid="{1D2CF1E1-09DF-41BB-B05B-1C792AB04F99}"/>
    <hyperlink ref="C9" r:id="rId6" xr:uid="{9E20021D-FD15-4A3A-8A4B-7AD6FC3F26D6}"/>
    <hyperlink ref="C8" r:id="rId7" xr:uid="{AEF21A58-9BF6-4ACF-A485-1D6413944317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B1:G21"/>
  <sheetViews>
    <sheetView showGridLines="0" zoomScale="101" workbookViewId="0">
      <selection activeCell="G14" sqref="G14"/>
    </sheetView>
  </sheetViews>
  <sheetFormatPr baseColWidth="10" defaultRowHeight="15" x14ac:dyDescent="0.25"/>
  <cols>
    <col min="1" max="1" width="4.42578125" style="348" customWidth="1"/>
    <col min="2" max="2" width="19" style="348" bestFit="1" customWidth="1"/>
    <col min="3" max="3" width="17.5703125" style="348" bestFit="1" customWidth="1"/>
    <col min="4" max="4" width="15.28515625" style="349" bestFit="1" customWidth="1"/>
    <col min="5" max="5" width="10.85546875" style="349" bestFit="1" customWidth="1"/>
    <col min="6" max="6" width="16.5703125" style="348" bestFit="1" customWidth="1"/>
    <col min="7" max="7" width="149.5703125" style="348" bestFit="1" customWidth="1"/>
    <col min="8" max="16384" width="11.42578125" style="348"/>
  </cols>
  <sheetData>
    <row r="1" spans="2:7" ht="15.75" thickBot="1" x14ac:dyDescent="0.3"/>
    <row r="2" spans="2:7" ht="15.75" thickBot="1" x14ac:dyDescent="0.3">
      <c r="B2" s="334" t="s">
        <v>28</v>
      </c>
      <c r="C2" s="334" t="s">
        <v>25</v>
      </c>
      <c r="D2" s="334" t="s">
        <v>574</v>
      </c>
      <c r="E2" s="334" t="s">
        <v>39</v>
      </c>
      <c r="F2" s="334" t="s">
        <v>481</v>
      </c>
      <c r="G2" s="334" t="s">
        <v>181</v>
      </c>
    </row>
    <row r="3" spans="2:7" x14ac:dyDescent="0.25">
      <c r="B3" s="468" t="s">
        <v>19</v>
      </c>
      <c r="C3" s="350" t="s">
        <v>630</v>
      </c>
      <c r="D3" s="351" t="s">
        <v>637</v>
      </c>
      <c r="E3" s="352">
        <v>38.64</v>
      </c>
      <c r="F3" s="383">
        <f>E3*(1+Summary!$D$17)</f>
        <v>46.368000000000002</v>
      </c>
      <c r="G3" s="353" t="s">
        <v>237</v>
      </c>
    </row>
    <row r="4" spans="2:7" x14ac:dyDescent="0.25">
      <c r="B4" s="469"/>
      <c r="C4" s="354" t="s">
        <v>632</v>
      </c>
      <c r="D4" s="355" t="s">
        <v>631</v>
      </c>
      <c r="E4" s="354">
        <f>(24*2 + 7.5)*0.8+16+14</f>
        <v>74.400000000000006</v>
      </c>
      <c r="F4" s="354"/>
      <c r="G4" s="356" t="s">
        <v>238</v>
      </c>
    </row>
    <row r="5" spans="2:7" x14ac:dyDescent="0.25">
      <c r="B5" s="469"/>
      <c r="C5" s="354" t="s">
        <v>633</v>
      </c>
      <c r="D5" s="355" t="s">
        <v>638</v>
      </c>
      <c r="E5" s="357">
        <f>E4*E3</f>
        <v>2874.8160000000003</v>
      </c>
      <c r="F5" s="390">
        <f>E5*(1+Summary!$D$17)</f>
        <v>3449.7792000000004</v>
      </c>
      <c r="G5" s="358"/>
    </row>
    <row r="6" spans="2:7" ht="15.75" thickBot="1" x14ac:dyDescent="0.3">
      <c r="B6" s="470"/>
      <c r="C6" s="380" t="s">
        <v>634</v>
      </c>
      <c r="D6" s="381" t="s">
        <v>639</v>
      </c>
      <c r="E6" s="391">
        <v>7.8299999999999995E-2</v>
      </c>
      <c r="F6" s="392">
        <f>E6*(1+Summary!$D$17)</f>
        <v>9.3959999999999988E-2</v>
      </c>
      <c r="G6" s="393" t="s">
        <v>139</v>
      </c>
    </row>
    <row r="7" spans="2:7" ht="18" thickBot="1" x14ac:dyDescent="0.3">
      <c r="B7" s="384" t="s">
        <v>480</v>
      </c>
      <c r="C7" s="385" t="s">
        <v>635</v>
      </c>
      <c r="D7" s="386" t="s">
        <v>636</v>
      </c>
      <c r="E7" s="387">
        <v>2.2200000000000002</v>
      </c>
      <c r="F7" s="388">
        <f>E7*(1+Summary!D17)</f>
        <v>2.6640000000000001</v>
      </c>
      <c r="G7" s="389" t="s">
        <v>375</v>
      </c>
    </row>
    <row r="8" spans="2:7" x14ac:dyDescent="0.25">
      <c r="B8" s="361"/>
      <c r="C8" s="361"/>
      <c r="D8" s="362"/>
      <c r="E8" s="362"/>
      <c r="F8" s="361"/>
    </row>
    <row r="9" spans="2:7" x14ac:dyDescent="0.25">
      <c r="B9" s="361"/>
      <c r="C9" s="363"/>
      <c r="D9" s="364"/>
      <c r="E9" s="365"/>
      <c r="F9" s="361"/>
    </row>
    <row r="10" spans="2:7" x14ac:dyDescent="0.25">
      <c r="B10" s="361"/>
      <c r="C10" s="361"/>
      <c r="D10" s="362"/>
      <c r="E10" s="362"/>
      <c r="F10" s="361"/>
    </row>
    <row r="11" spans="2:7" x14ac:dyDescent="0.25">
      <c r="B11" s="361"/>
      <c r="C11" s="361"/>
      <c r="D11" s="362"/>
      <c r="E11" s="362"/>
      <c r="F11" s="361"/>
    </row>
    <row r="13" spans="2:7" ht="15.75" thickBot="1" x14ac:dyDescent="0.3"/>
    <row r="14" spans="2:7" ht="15.75" thickBot="1" x14ac:dyDescent="0.3">
      <c r="B14" s="366" t="s">
        <v>513</v>
      </c>
      <c r="C14" s="359"/>
      <c r="D14" s="360"/>
      <c r="E14" s="360"/>
      <c r="F14" s="367"/>
    </row>
    <row r="15" spans="2:7" ht="15.75" thickBot="1" x14ac:dyDescent="0.3">
      <c r="B15" s="368" t="s">
        <v>515</v>
      </c>
      <c r="C15" s="369" t="s">
        <v>516</v>
      </c>
      <c r="D15" s="370"/>
      <c r="E15" s="370"/>
      <c r="F15" s="367" t="s">
        <v>517</v>
      </c>
    </row>
    <row r="16" spans="2:7" x14ac:dyDescent="0.25">
      <c r="B16" s="371" t="s">
        <v>514</v>
      </c>
      <c r="C16" s="372"/>
      <c r="D16" s="373"/>
      <c r="E16" s="373"/>
      <c r="F16" s="374"/>
    </row>
    <row r="17" spans="2:6" x14ac:dyDescent="0.25">
      <c r="B17" s="375"/>
      <c r="C17" s="376"/>
      <c r="D17" s="355"/>
      <c r="E17" s="355"/>
      <c r="F17" s="377"/>
    </row>
    <row r="18" spans="2:6" x14ac:dyDescent="0.25">
      <c r="B18" s="378"/>
      <c r="C18" s="354"/>
      <c r="D18" s="355"/>
      <c r="E18" s="355"/>
      <c r="F18" s="377"/>
    </row>
    <row r="19" spans="2:6" x14ac:dyDescent="0.25">
      <c r="B19" s="378"/>
      <c r="C19" s="354"/>
      <c r="D19" s="355"/>
      <c r="E19" s="355"/>
      <c r="F19" s="377"/>
    </row>
    <row r="20" spans="2:6" x14ac:dyDescent="0.25">
      <c r="B20" s="378"/>
      <c r="C20" s="354"/>
      <c r="D20" s="355"/>
      <c r="E20" s="355"/>
      <c r="F20" s="377"/>
    </row>
    <row r="21" spans="2:6" ht="15.75" thickBot="1" x14ac:dyDescent="0.3">
      <c r="B21" s="379"/>
      <c r="C21" s="380"/>
      <c r="D21" s="381"/>
      <c r="E21" s="381"/>
      <c r="F21" s="382"/>
    </row>
  </sheetData>
  <mergeCells count="1">
    <mergeCell ref="B3:B6"/>
  </mergeCells>
  <hyperlinks>
    <hyperlink ref="C15" r:id="rId1" display="https://www.kelwatt.fr/guide/prix-electricite-entreprise" xr:uid="{57DB309D-328C-43E2-958B-06E6A519B593}"/>
    <hyperlink ref="G6" r:id="rId2" xr:uid="{1396A18B-5C63-4303-B7D0-B97192DD6001}"/>
    <hyperlink ref="G3" r:id="rId3" location="decomposition-facture" xr:uid="{B0006980-5F30-4DF1-8435-732FCE10A1C4}"/>
    <hyperlink ref="G4" r:id="rId4" xr:uid="{F9B0E1E1-E50F-4CB0-991D-38564C885D2F}"/>
    <hyperlink ref="G7" r:id="rId5" xr:uid="{3503A96D-4995-4257-81F3-5306EB139EED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29"/>
  <sheetViews>
    <sheetView showGridLines="0" workbookViewId="0">
      <selection activeCell="D37" sqref="D37"/>
    </sheetView>
  </sheetViews>
  <sheetFormatPr baseColWidth="10" defaultRowHeight="15" x14ac:dyDescent="0.25"/>
  <cols>
    <col min="1" max="1" width="3.7109375" style="118" customWidth="1"/>
    <col min="2" max="2" width="14.28515625" style="118" bestFit="1" customWidth="1"/>
    <col min="3" max="3" width="26.140625" style="118" bestFit="1" customWidth="1"/>
    <col min="4" max="4" width="36.85546875" style="118" bestFit="1" customWidth="1"/>
    <col min="5" max="5" width="17.7109375" style="118" bestFit="1" customWidth="1"/>
    <col min="6" max="6" width="10.85546875" style="118" bestFit="1" customWidth="1"/>
    <col min="7" max="7" width="10.85546875" style="118" customWidth="1"/>
    <col min="8" max="8" width="14.7109375" style="118" bestFit="1" customWidth="1"/>
    <col min="9" max="9" width="119" style="118" bestFit="1" customWidth="1"/>
    <col min="10" max="16384" width="11.42578125" style="118"/>
  </cols>
  <sheetData>
    <row r="1" spans="1:9" ht="15.75" thickBot="1" x14ac:dyDescent="0.3"/>
    <row r="2" spans="1:9" ht="15.75" thickBot="1" x14ac:dyDescent="0.3">
      <c r="A2" s="225"/>
      <c r="B2" s="318" t="s">
        <v>483</v>
      </c>
      <c r="C2" s="316" t="s">
        <v>16</v>
      </c>
      <c r="D2" s="316" t="s">
        <v>574</v>
      </c>
      <c r="E2" s="316" t="s">
        <v>569</v>
      </c>
      <c r="F2" s="316" t="s">
        <v>479</v>
      </c>
      <c r="G2" s="316" t="s">
        <v>478</v>
      </c>
      <c r="H2" s="316" t="s">
        <v>570</v>
      </c>
      <c r="I2" s="317" t="s">
        <v>181</v>
      </c>
    </row>
    <row r="3" spans="1:9" x14ac:dyDescent="0.25">
      <c r="A3" s="225"/>
      <c r="B3" s="474" t="s">
        <v>484</v>
      </c>
      <c r="C3" s="121" t="s">
        <v>87</v>
      </c>
      <c r="D3" s="121" t="s">
        <v>575</v>
      </c>
      <c r="E3" s="119" t="s">
        <v>573</v>
      </c>
      <c r="F3" s="151">
        <f>G3/(1+Summary!$D$17)</f>
        <v>373.33333333333337</v>
      </c>
      <c r="G3" s="151">
        <v>448</v>
      </c>
      <c r="H3" s="151">
        <f>G3*2</f>
        <v>896</v>
      </c>
      <c r="I3" s="320" t="s">
        <v>88</v>
      </c>
    </row>
    <row r="4" spans="1:9" ht="15.75" thickBot="1" x14ac:dyDescent="0.3">
      <c r="A4" s="225"/>
      <c r="B4" s="475"/>
      <c r="C4" s="143" t="s">
        <v>89</v>
      </c>
      <c r="D4" s="143" t="s">
        <v>586</v>
      </c>
      <c r="E4" s="133" t="s">
        <v>163</v>
      </c>
      <c r="F4" s="165">
        <v>4.2</v>
      </c>
      <c r="G4" s="165">
        <f>F4*(1+Summary!D17)</f>
        <v>5.04</v>
      </c>
      <c r="H4" s="165">
        <f>(SUM('Manpower &amp; time'!C17:C18)+1)*'IT&amp;Office'!G4</f>
        <v>25.2</v>
      </c>
      <c r="I4" s="321" t="s">
        <v>161</v>
      </c>
    </row>
    <row r="5" spans="1:9" x14ac:dyDescent="0.25">
      <c r="A5" s="225"/>
      <c r="B5" s="474" t="s">
        <v>485</v>
      </c>
      <c r="C5" s="121" t="s">
        <v>585</v>
      </c>
      <c r="D5" s="121" t="s">
        <v>580</v>
      </c>
      <c r="E5" s="119" t="s">
        <v>571</v>
      </c>
      <c r="F5" s="322">
        <f>G5/(1+Summary!$D$17)</f>
        <v>224.91666666666666</v>
      </c>
      <c r="G5" s="151">
        <v>269.89999999999998</v>
      </c>
      <c r="H5" s="151">
        <f>G5</f>
        <v>269.89999999999998</v>
      </c>
      <c r="I5" s="320" t="s">
        <v>142</v>
      </c>
    </row>
    <row r="6" spans="1:9" x14ac:dyDescent="0.25">
      <c r="A6" s="225"/>
      <c r="B6" s="476"/>
      <c r="C6" s="128" t="s">
        <v>147</v>
      </c>
      <c r="D6" s="128" t="s">
        <v>581</v>
      </c>
      <c r="E6" s="126" t="s">
        <v>572</v>
      </c>
      <c r="F6" s="140">
        <f>G6/(1+Summary!$D$17)</f>
        <v>41.666666666666671</v>
      </c>
      <c r="G6" s="140">
        <v>50</v>
      </c>
      <c r="H6" s="140">
        <f>3*G6</f>
        <v>150</v>
      </c>
      <c r="I6" s="323" t="s">
        <v>148</v>
      </c>
    </row>
    <row r="7" spans="1:9" x14ac:dyDescent="0.25">
      <c r="A7" s="225"/>
      <c r="B7" s="476"/>
      <c r="C7" s="128" t="s">
        <v>150</v>
      </c>
      <c r="D7" s="128" t="s">
        <v>580</v>
      </c>
      <c r="E7" s="126" t="s">
        <v>572</v>
      </c>
      <c r="F7" s="324">
        <f>G7/(1+Summary!$D$17)</f>
        <v>114.99166666666667</v>
      </c>
      <c r="G7" s="140">
        <v>137.99</v>
      </c>
      <c r="H7" s="140">
        <f>G7</f>
        <v>137.99</v>
      </c>
      <c r="I7" s="323" t="s">
        <v>149</v>
      </c>
    </row>
    <row r="8" spans="1:9" x14ac:dyDescent="0.25">
      <c r="A8" s="225"/>
      <c r="B8" s="476"/>
      <c r="C8" s="128" t="s">
        <v>164</v>
      </c>
      <c r="D8" s="128" t="s">
        <v>582</v>
      </c>
      <c r="E8" s="126" t="s">
        <v>572</v>
      </c>
      <c r="F8" s="140">
        <v>23.6</v>
      </c>
      <c r="G8" s="140">
        <f>F8*(1+Summary!$D$17)</f>
        <v>28.32</v>
      </c>
      <c r="H8" s="140">
        <f>2*G8</f>
        <v>56.64</v>
      </c>
      <c r="I8" s="323" t="s">
        <v>165</v>
      </c>
    </row>
    <row r="9" spans="1:9" ht="15.75" thickBot="1" x14ac:dyDescent="0.3">
      <c r="A9" s="225"/>
      <c r="B9" s="475"/>
      <c r="C9" s="143" t="s">
        <v>166</v>
      </c>
      <c r="D9" s="143" t="s">
        <v>580</v>
      </c>
      <c r="E9" s="133" t="s">
        <v>572</v>
      </c>
      <c r="F9" s="165">
        <v>39.950000000000003</v>
      </c>
      <c r="G9" s="165">
        <f>F9*(1+Summary!$D$17)</f>
        <v>47.940000000000005</v>
      </c>
      <c r="H9" s="165">
        <f>G9</f>
        <v>47.940000000000005</v>
      </c>
      <c r="I9" s="321" t="s">
        <v>167</v>
      </c>
    </row>
    <row r="10" spans="1:9" x14ac:dyDescent="0.25">
      <c r="A10" s="225"/>
      <c r="B10" s="471" t="s">
        <v>486</v>
      </c>
      <c r="C10" s="121" t="s">
        <v>151</v>
      </c>
      <c r="D10" s="157" t="s">
        <v>577</v>
      </c>
      <c r="E10" s="119" t="s">
        <v>571</v>
      </c>
      <c r="F10" s="324">
        <v>849</v>
      </c>
      <c r="G10" s="151">
        <v>2097.6</v>
      </c>
      <c r="H10" s="151">
        <f>(SUM('Manpower &amp; time'!C17:C18)+1)*G10</f>
        <v>10488</v>
      </c>
      <c r="I10" s="320" t="s">
        <v>152</v>
      </c>
    </row>
    <row r="11" spans="1:9" x14ac:dyDescent="0.25">
      <c r="A11" s="225"/>
      <c r="B11" s="472"/>
      <c r="C11" s="128" t="s">
        <v>144</v>
      </c>
      <c r="D11" s="156" t="s">
        <v>576</v>
      </c>
      <c r="E11" s="126" t="s">
        <v>571</v>
      </c>
      <c r="F11" s="324">
        <f>G11/(1+Summary!$D$17)</f>
        <v>1791.75</v>
      </c>
      <c r="G11" s="140">
        <v>2150.1</v>
      </c>
      <c r="H11" s="140">
        <f>2*G11</f>
        <v>4300.2</v>
      </c>
      <c r="I11" s="323" t="s">
        <v>143</v>
      </c>
    </row>
    <row r="12" spans="1:9" ht="15.75" thickBot="1" x14ac:dyDescent="0.3">
      <c r="A12" s="225"/>
      <c r="B12" s="473"/>
      <c r="C12" s="143" t="s">
        <v>159</v>
      </c>
      <c r="D12" s="329" t="s">
        <v>586</v>
      </c>
      <c r="E12" s="133" t="s">
        <v>571</v>
      </c>
      <c r="F12" s="165">
        <f>G12/(1+Summary!$D$17)</f>
        <v>517</v>
      </c>
      <c r="G12" s="165">
        <v>620.4</v>
      </c>
      <c r="H12" s="165">
        <f>5*G12</f>
        <v>3102</v>
      </c>
      <c r="I12" s="321" t="s">
        <v>160</v>
      </c>
    </row>
    <row r="13" spans="1:9" x14ac:dyDescent="0.25">
      <c r="A13" s="225"/>
      <c r="B13" s="471" t="s">
        <v>487</v>
      </c>
      <c r="C13" s="121" t="s">
        <v>146</v>
      </c>
      <c r="D13" s="121" t="s">
        <v>586</v>
      </c>
      <c r="E13" s="119" t="s">
        <v>571</v>
      </c>
      <c r="F13" s="324">
        <f>G13/(1+Summary!$D$17)</f>
        <v>153</v>
      </c>
      <c r="G13" s="151">
        <v>183.6</v>
      </c>
      <c r="H13" s="151">
        <f>5*G13</f>
        <v>918</v>
      </c>
      <c r="I13" s="320" t="s">
        <v>145</v>
      </c>
    </row>
    <row r="14" spans="1:9" x14ac:dyDescent="0.25">
      <c r="A14" s="225"/>
      <c r="B14" s="472"/>
      <c r="C14" s="128" t="s">
        <v>154</v>
      </c>
      <c r="D14" s="128" t="s">
        <v>578</v>
      </c>
      <c r="E14" s="126" t="s">
        <v>571</v>
      </c>
      <c r="F14" s="324">
        <f>G14/(1+Summary!$D$17)</f>
        <v>45</v>
      </c>
      <c r="G14" s="140">
        <v>54</v>
      </c>
      <c r="H14" s="140">
        <f>G14</f>
        <v>54</v>
      </c>
      <c r="I14" s="323" t="s">
        <v>153</v>
      </c>
    </row>
    <row r="15" spans="1:9" x14ac:dyDescent="0.25">
      <c r="A15" s="225"/>
      <c r="B15" s="472"/>
      <c r="C15" s="128" t="s">
        <v>155</v>
      </c>
      <c r="D15" s="128" t="s">
        <v>579</v>
      </c>
      <c r="E15" s="126" t="s">
        <v>571</v>
      </c>
      <c r="F15" s="324">
        <f>G15/(1+Summary!$D$17)</f>
        <v>34</v>
      </c>
      <c r="G15" s="140">
        <v>40.799999999999997</v>
      </c>
      <c r="H15" s="140">
        <f>6*G15</f>
        <v>244.79999999999998</v>
      </c>
      <c r="I15" s="323" t="s">
        <v>156</v>
      </c>
    </row>
    <row r="16" spans="1:9" ht="15.75" thickBot="1" x14ac:dyDescent="0.3">
      <c r="A16" s="225"/>
      <c r="B16" s="473"/>
      <c r="C16" s="143" t="s">
        <v>157</v>
      </c>
      <c r="D16" s="143" t="s">
        <v>580</v>
      </c>
      <c r="E16" s="133" t="s">
        <v>571</v>
      </c>
      <c r="F16" s="324">
        <f>G16/(1+Summary!$D$17)</f>
        <v>181</v>
      </c>
      <c r="G16" s="165">
        <v>217.2</v>
      </c>
      <c r="H16" s="165">
        <f>G16</f>
        <v>217.2</v>
      </c>
      <c r="I16" s="321" t="s">
        <v>158</v>
      </c>
    </row>
    <row r="17" spans="1:9" ht="15.75" thickBot="1" x14ac:dyDescent="0.3">
      <c r="A17" s="225"/>
      <c r="B17" s="319" t="s">
        <v>488</v>
      </c>
      <c r="C17" s="325" t="s">
        <v>33</v>
      </c>
      <c r="D17" s="325" t="s">
        <v>583</v>
      </c>
      <c r="E17" s="326" t="s">
        <v>572</v>
      </c>
      <c r="F17" s="327">
        <f>102*12</f>
        <v>1224</v>
      </c>
      <c r="G17" s="165">
        <f>F17*(1+Summary!$D$17)</f>
        <v>1468.8</v>
      </c>
      <c r="H17" s="327">
        <f>G17</f>
        <v>1468.8</v>
      </c>
      <c r="I17" s="328" t="s">
        <v>168</v>
      </c>
    </row>
    <row r="18" spans="1:9" x14ac:dyDescent="0.25">
      <c r="A18" s="225"/>
      <c r="B18" s="471" t="s">
        <v>489</v>
      </c>
      <c r="C18" s="121" t="s">
        <v>249</v>
      </c>
      <c r="D18" s="121" t="s">
        <v>582</v>
      </c>
      <c r="E18" s="119" t="s">
        <v>571</v>
      </c>
      <c r="F18" s="151">
        <v>96</v>
      </c>
      <c r="G18" s="140">
        <f>F18*(1+Summary!$D$17)</f>
        <v>115.19999999999999</v>
      </c>
      <c r="H18" s="151">
        <f>G18*2</f>
        <v>230.39999999999998</v>
      </c>
      <c r="I18" s="320" t="s">
        <v>248</v>
      </c>
    </row>
    <row r="19" spans="1:9" ht="15.75" thickBot="1" x14ac:dyDescent="0.3">
      <c r="A19" s="225"/>
      <c r="B19" s="473"/>
      <c r="C19" s="143" t="s">
        <v>489</v>
      </c>
      <c r="D19" s="143" t="s">
        <v>584</v>
      </c>
      <c r="E19" s="133" t="s">
        <v>571</v>
      </c>
      <c r="F19" s="165">
        <v>285</v>
      </c>
      <c r="G19" s="165">
        <f>F19*(1+Summary!$D$17)</f>
        <v>342</v>
      </c>
      <c r="H19" s="165">
        <f>4*G19</f>
        <v>1368</v>
      </c>
      <c r="I19" s="321" t="s">
        <v>250</v>
      </c>
    </row>
    <row r="20" spans="1:9" x14ac:dyDescent="0.25">
      <c r="B20" s="91"/>
    </row>
    <row r="21" spans="1:9" ht="15.75" thickBot="1" x14ac:dyDescent="0.3"/>
    <row r="22" spans="1:9" ht="15.75" thickBot="1" x14ac:dyDescent="0.3">
      <c r="A22" s="225"/>
      <c r="B22" s="334" t="s">
        <v>483</v>
      </c>
      <c r="C22" s="316" t="s">
        <v>16</v>
      </c>
      <c r="D22" s="316" t="s">
        <v>574</v>
      </c>
      <c r="E22" s="316" t="s">
        <v>569</v>
      </c>
      <c r="F22" s="316" t="s">
        <v>479</v>
      </c>
      <c r="G22" s="316" t="s">
        <v>478</v>
      </c>
      <c r="H22" s="316" t="s">
        <v>570</v>
      </c>
      <c r="I22" s="317" t="s">
        <v>181</v>
      </c>
    </row>
    <row r="23" spans="1:9" x14ac:dyDescent="0.25">
      <c r="A23" s="225"/>
      <c r="B23" s="474" t="s">
        <v>339</v>
      </c>
      <c r="C23" s="333" t="s">
        <v>256</v>
      </c>
      <c r="D23" s="119" t="s">
        <v>586</v>
      </c>
      <c r="E23" s="87" t="s">
        <v>571</v>
      </c>
      <c r="F23" s="86">
        <v>619</v>
      </c>
      <c r="G23" s="331">
        <f>F23*(1+Summary!$D$17)</f>
        <v>742.8</v>
      </c>
      <c r="H23" s="331">
        <f>5*G23</f>
        <v>3714</v>
      </c>
      <c r="I23" s="83" t="s">
        <v>255</v>
      </c>
    </row>
    <row r="24" spans="1:9" x14ac:dyDescent="0.25">
      <c r="A24" s="225"/>
      <c r="B24" s="476"/>
      <c r="C24" s="38" t="s">
        <v>257</v>
      </c>
      <c r="D24" s="87" t="s">
        <v>586</v>
      </c>
      <c r="E24" s="10" t="s">
        <v>571</v>
      </c>
      <c r="F24" s="11">
        <v>248</v>
      </c>
      <c r="G24" s="331">
        <f>F24*(1+Summary!$D$17)</f>
        <v>297.59999999999997</v>
      </c>
      <c r="H24" s="335">
        <f>5*G24</f>
        <v>1487.9999999999998</v>
      </c>
      <c r="I24" s="79" t="s">
        <v>255</v>
      </c>
    </row>
    <row r="25" spans="1:9" x14ac:dyDescent="0.25">
      <c r="A25" s="225"/>
      <c r="B25" s="476"/>
      <c r="C25" s="38" t="s">
        <v>495</v>
      </c>
      <c r="D25" s="10" t="s">
        <v>582</v>
      </c>
      <c r="E25" s="10" t="s">
        <v>571</v>
      </c>
      <c r="F25" s="11">
        <v>320</v>
      </c>
      <c r="G25" s="331">
        <f>F25*(1+Summary!$D$17)</f>
        <v>384</v>
      </c>
      <c r="H25" s="335">
        <f>G25</f>
        <v>384</v>
      </c>
      <c r="I25" s="79" t="s">
        <v>255</v>
      </c>
    </row>
    <row r="26" spans="1:9" x14ac:dyDescent="0.25">
      <c r="A26" s="225"/>
      <c r="B26" s="476"/>
      <c r="C26" s="38" t="s">
        <v>496</v>
      </c>
      <c r="D26" s="10" t="s">
        <v>582</v>
      </c>
      <c r="E26" s="10" t="s">
        <v>571</v>
      </c>
      <c r="F26" s="11">
        <v>515</v>
      </c>
      <c r="G26" s="331">
        <f>F26*(1+Summary!$D$17)</f>
        <v>618</v>
      </c>
      <c r="H26" s="335">
        <f>G26*2</f>
        <v>1236</v>
      </c>
      <c r="I26" s="79" t="s">
        <v>255</v>
      </c>
    </row>
    <row r="27" spans="1:9" x14ac:dyDescent="0.25">
      <c r="A27" s="225"/>
      <c r="B27" s="476"/>
      <c r="C27" s="38" t="s">
        <v>258</v>
      </c>
      <c r="D27" s="10" t="s">
        <v>582</v>
      </c>
      <c r="E27" s="10" t="s">
        <v>571</v>
      </c>
      <c r="F27" s="11">
        <v>1125</v>
      </c>
      <c r="G27" s="331">
        <f>F27*(1+Summary!$D$17)</f>
        <v>1350</v>
      </c>
      <c r="H27" s="335">
        <f>G27*2</f>
        <v>2700</v>
      </c>
      <c r="I27" s="79" t="s">
        <v>259</v>
      </c>
    </row>
    <row r="28" spans="1:9" x14ac:dyDescent="0.25">
      <c r="A28" s="225"/>
      <c r="B28" s="476"/>
      <c r="C28" s="38" t="s">
        <v>260</v>
      </c>
      <c r="D28" s="10" t="s">
        <v>580</v>
      </c>
      <c r="E28" s="10" t="s">
        <v>571</v>
      </c>
      <c r="F28" s="11">
        <v>1851</v>
      </c>
      <c r="G28" s="331">
        <f>F28*(1+Summary!$D$17)</f>
        <v>2221.1999999999998</v>
      </c>
      <c r="H28" s="335">
        <f>G28</f>
        <v>2221.1999999999998</v>
      </c>
      <c r="I28" s="79" t="s">
        <v>261</v>
      </c>
    </row>
    <row r="29" spans="1:9" ht="15.75" thickBot="1" x14ac:dyDescent="0.3">
      <c r="A29" s="225"/>
      <c r="B29" s="475"/>
      <c r="C29" s="39" t="s">
        <v>262</v>
      </c>
      <c r="D29" s="22" t="s">
        <v>589</v>
      </c>
      <c r="E29" s="22" t="s">
        <v>571</v>
      </c>
      <c r="F29" s="75">
        <v>417</v>
      </c>
      <c r="G29" s="332">
        <f>F29*(1+Summary!$D$17)</f>
        <v>500.4</v>
      </c>
      <c r="H29" s="332">
        <f>10*G29</f>
        <v>5004</v>
      </c>
      <c r="I29" s="81" t="s">
        <v>263</v>
      </c>
    </row>
  </sheetData>
  <mergeCells count="6">
    <mergeCell ref="B23:B29"/>
    <mergeCell ref="B10:B12"/>
    <mergeCell ref="B13:B16"/>
    <mergeCell ref="B18:B19"/>
    <mergeCell ref="B3:B4"/>
    <mergeCell ref="B5:B9"/>
  </mergeCells>
  <hyperlinks>
    <hyperlink ref="I3" r:id="rId1" xr:uid="{FD9041DB-5526-4E8F-BFD7-AA5D94C5B2E4}"/>
    <hyperlink ref="I4" r:id="rId2" xr:uid="{E6B5906C-F2EB-4ABD-BA4B-CF8971DBD144}"/>
    <hyperlink ref="I5" r:id="rId3" xr:uid="{FFF5BA92-621D-46DE-8A93-77B4E8D5335C}"/>
    <hyperlink ref="I6" r:id="rId4" xr:uid="{FE8366DB-ECBE-4BB2-A101-8DFC60ED63B1}"/>
    <hyperlink ref="I7" r:id="rId5" xr:uid="{3A34D2B9-B400-4EBB-ADEA-B50DD16E9C6E}"/>
    <hyperlink ref="I8" r:id="rId6" xr:uid="{7230FFA8-873B-440D-AD71-C1A7ED419CA4}"/>
    <hyperlink ref="I9" r:id="rId7" xr:uid="{9E79F410-3DE5-41E1-AD83-DE8CA1BFCDEB}"/>
    <hyperlink ref="I10" r:id="rId8" xr:uid="{07C655F5-BAB6-4261-B193-0B6630DB43BC}"/>
    <hyperlink ref="I11" r:id="rId9" xr:uid="{B2D6165E-7A6E-4187-9770-841DD800B6D2}"/>
    <hyperlink ref="I12" r:id="rId10" xr:uid="{733AFC55-D6C6-48FF-B2CA-6749EDCE5942}"/>
    <hyperlink ref="I13" r:id="rId11" xr:uid="{F0891ACC-E316-49B1-86B7-7F7F9C09CF94}"/>
    <hyperlink ref="I14" r:id="rId12" xr:uid="{5C9D5D1C-C868-40FA-A5FF-35B918CAA5DB}"/>
    <hyperlink ref="I15" r:id="rId13" xr:uid="{8DFB83E8-5B50-4860-9758-230A5952BE6F}"/>
    <hyperlink ref="I16" r:id="rId14" xr:uid="{AE430928-5516-4D7D-97A4-4CA05BF478EF}"/>
    <hyperlink ref="I18" r:id="rId15" xr:uid="{82CA0279-6909-4488-90C8-2ED8DCD91CB3}"/>
    <hyperlink ref="I19" r:id="rId16" xr:uid="{913CA25F-1E06-451F-97A3-0A3263DD6814}"/>
    <hyperlink ref="I23" r:id="rId17" xr:uid="{2131B039-6D68-4CB3-95D7-8D4A25B5C754}"/>
    <hyperlink ref="I24" r:id="rId18" xr:uid="{1E504BA5-2C15-4A87-A57B-A15650729C4A}"/>
    <hyperlink ref="I25" r:id="rId19" xr:uid="{6E2B9B81-99B1-4B6B-B91A-654077C93711}"/>
    <hyperlink ref="I26" r:id="rId20" xr:uid="{6654171F-F120-4516-A062-8F605307B3E1}"/>
    <hyperlink ref="I27" r:id="rId21" xr:uid="{BE11A961-4344-41C0-A52A-76264661B771}"/>
    <hyperlink ref="I28" r:id="rId22" xr:uid="{232DD4D1-2BDF-44BB-A0AD-09C68C94D24A}"/>
    <hyperlink ref="I29" r:id="rId23" xr:uid="{8009E3DA-8BF6-447C-9701-DAFA5C2BE40A}"/>
  </hyperlinks>
  <pageMargins left="0.7" right="0.7" top="0.75" bottom="0.75" header="0.3" footer="0.3"/>
  <pageSetup orientation="portrait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B1:G24"/>
  <sheetViews>
    <sheetView showGridLines="0" workbookViewId="0">
      <selection activeCell="B2" sqref="B2:G2"/>
    </sheetView>
  </sheetViews>
  <sheetFormatPr baseColWidth="10" defaultRowHeight="15" x14ac:dyDescent="0.25"/>
  <cols>
    <col min="1" max="1" width="3" customWidth="1"/>
    <col min="2" max="2" width="20.85546875" bestFit="1" customWidth="1"/>
    <col min="3" max="3" width="31.5703125" bestFit="1" customWidth="1"/>
    <col min="4" max="4" width="25.85546875" bestFit="1" customWidth="1"/>
    <col min="5" max="5" width="17" bestFit="1" customWidth="1"/>
    <col min="6" max="6" width="16.5703125" bestFit="1" customWidth="1"/>
    <col min="7" max="7" width="126.7109375" bestFit="1" customWidth="1"/>
  </cols>
  <sheetData>
    <row r="1" spans="2:7" ht="15.75" thickBot="1" x14ac:dyDescent="0.3"/>
    <row r="2" spans="2:7" ht="15.75" thickBot="1" x14ac:dyDescent="0.3">
      <c r="B2" s="318" t="s">
        <v>28</v>
      </c>
      <c r="C2" s="318" t="s">
        <v>25</v>
      </c>
      <c r="D2" s="318" t="s">
        <v>574</v>
      </c>
      <c r="E2" s="318" t="s">
        <v>482</v>
      </c>
      <c r="F2" s="318" t="s">
        <v>481</v>
      </c>
      <c r="G2" s="318" t="s">
        <v>181</v>
      </c>
    </row>
    <row r="3" spans="2:7" x14ac:dyDescent="0.25">
      <c r="B3" s="474" t="s">
        <v>490</v>
      </c>
      <c r="C3" s="37" t="s">
        <v>77</v>
      </c>
      <c r="D3" s="21"/>
      <c r="E3" s="21">
        <v>1072</v>
      </c>
      <c r="F3" s="21">
        <f>E3*(1+Summary!$D$17)</f>
        <v>1286.3999999999999</v>
      </c>
      <c r="G3" s="340" t="s">
        <v>78</v>
      </c>
    </row>
    <row r="4" spans="2:7" x14ac:dyDescent="0.25">
      <c r="B4" s="476"/>
      <c r="C4" s="38" t="s">
        <v>81</v>
      </c>
      <c r="D4" s="10"/>
      <c r="E4" s="86">
        <v>12350</v>
      </c>
      <c r="F4" s="10">
        <f>E4*(1+Summary!$D$17)</f>
        <v>14820</v>
      </c>
      <c r="G4" s="79" t="s">
        <v>79</v>
      </c>
    </row>
    <row r="5" spans="2:7" x14ac:dyDescent="0.25">
      <c r="B5" s="476"/>
      <c r="C5" s="38" t="s">
        <v>86</v>
      </c>
      <c r="D5" s="10"/>
      <c r="E5" s="11">
        <v>327</v>
      </c>
      <c r="F5" s="10">
        <f>E5*(1+Summary!$D$17)</f>
        <v>392.4</v>
      </c>
      <c r="G5" s="79" t="s">
        <v>85</v>
      </c>
    </row>
    <row r="6" spans="2:7" x14ac:dyDescent="0.25">
      <c r="B6" s="476"/>
      <c r="C6" s="38" t="s">
        <v>326</v>
      </c>
      <c r="D6" s="10"/>
      <c r="E6" s="11">
        <v>3142</v>
      </c>
      <c r="F6" s="10">
        <f>E6*(1+Summary!$D$17)</f>
        <v>3770.3999999999996</v>
      </c>
      <c r="G6" s="79" t="s">
        <v>325</v>
      </c>
    </row>
    <row r="7" spans="2:7" x14ac:dyDescent="0.25">
      <c r="B7" s="476"/>
      <c r="C7" s="38" t="s">
        <v>355</v>
      </c>
      <c r="D7" s="10"/>
      <c r="E7" s="11"/>
      <c r="F7" s="10">
        <f>E7*(1+Summary!$D$17)</f>
        <v>0</v>
      </c>
      <c r="G7" s="79" t="s">
        <v>356</v>
      </c>
    </row>
    <row r="8" spans="2:7" x14ac:dyDescent="0.25">
      <c r="B8" s="476"/>
      <c r="C8" s="38" t="s">
        <v>353</v>
      </c>
      <c r="D8" s="10"/>
      <c r="E8" s="11"/>
      <c r="F8" s="10">
        <f>E8*(1+Summary!$D$17)</f>
        <v>0</v>
      </c>
      <c r="G8" s="79" t="s">
        <v>354</v>
      </c>
    </row>
    <row r="9" spans="2:7" ht="15.75" thickBot="1" x14ac:dyDescent="0.3">
      <c r="B9" s="475"/>
      <c r="C9" s="39" t="s">
        <v>358</v>
      </c>
      <c r="D9" s="22"/>
      <c r="E9" s="22"/>
      <c r="F9" s="22">
        <f>E9*(1+Summary!$D$17)</f>
        <v>0</v>
      </c>
      <c r="G9" s="81" t="s">
        <v>357</v>
      </c>
    </row>
    <row r="10" spans="2:7" x14ac:dyDescent="0.25">
      <c r="B10" s="474" t="s">
        <v>491</v>
      </c>
      <c r="C10" s="37" t="s">
        <v>199</v>
      </c>
      <c r="D10" s="21" t="s">
        <v>200</v>
      </c>
      <c r="E10" s="69">
        <v>1079.0999999999999</v>
      </c>
      <c r="F10" s="21">
        <f>E10*(1+Summary!$D$17)</f>
        <v>1294.9199999999998</v>
      </c>
      <c r="G10" s="90" t="s">
        <v>90</v>
      </c>
    </row>
    <row r="11" spans="2:7" ht="15.75" thickBot="1" x14ac:dyDescent="0.3">
      <c r="B11" s="475"/>
      <c r="C11" s="39" t="s">
        <v>199</v>
      </c>
      <c r="D11" s="22" t="s">
        <v>201</v>
      </c>
      <c r="E11" s="75">
        <f>2041.73/1.2</f>
        <v>1701.4416666666668</v>
      </c>
      <c r="F11" s="75">
        <f>E11*(1+Summary!$D$17)</f>
        <v>2041.73</v>
      </c>
      <c r="G11" s="81" t="s">
        <v>179</v>
      </c>
    </row>
    <row r="12" spans="2:7" ht="15.75" thickBot="1" x14ac:dyDescent="0.3">
      <c r="B12" s="319" t="s">
        <v>320</v>
      </c>
      <c r="C12" s="95" t="s">
        <v>318</v>
      </c>
      <c r="D12" s="88" t="s">
        <v>319</v>
      </c>
      <c r="E12" s="100">
        <v>12999</v>
      </c>
      <c r="F12" s="88">
        <f>E12*(1+Summary!$D$17)</f>
        <v>15598.8</v>
      </c>
      <c r="G12" s="101" t="s">
        <v>317</v>
      </c>
    </row>
    <row r="13" spans="2:7" x14ac:dyDescent="0.25">
      <c r="B13" s="474" t="s">
        <v>492</v>
      </c>
      <c r="C13" s="37" t="s">
        <v>330</v>
      </c>
      <c r="D13" s="21">
        <v>5</v>
      </c>
      <c r="E13" s="69">
        <v>69.400000000000006</v>
      </c>
      <c r="F13" s="21">
        <f>E13*(1+Summary!$D$17)</f>
        <v>83.28</v>
      </c>
      <c r="G13" s="90" t="s">
        <v>329</v>
      </c>
    </row>
    <row r="14" spans="2:7" x14ac:dyDescent="0.25">
      <c r="B14" s="476"/>
      <c r="C14" s="38" t="s">
        <v>332</v>
      </c>
      <c r="D14" s="10">
        <v>1</v>
      </c>
      <c r="E14" s="11">
        <v>1433.25</v>
      </c>
      <c r="F14" s="10">
        <f>E14*(1+Summary!$D$17)</f>
        <v>1719.8999999999999</v>
      </c>
      <c r="G14" s="79" t="s">
        <v>331</v>
      </c>
    </row>
    <row r="15" spans="2:7" x14ac:dyDescent="0.25">
      <c r="B15" s="476"/>
      <c r="C15" s="38" t="s">
        <v>334</v>
      </c>
      <c r="D15" s="10">
        <v>1</v>
      </c>
      <c r="E15" s="11">
        <v>1866.02</v>
      </c>
      <c r="F15" s="10">
        <f>E15*(1+Summary!$D$17)</f>
        <v>2239.2239999999997</v>
      </c>
      <c r="G15" s="79" t="s">
        <v>333</v>
      </c>
    </row>
    <row r="16" spans="2:7" x14ac:dyDescent="0.25">
      <c r="B16" s="476"/>
      <c r="C16" s="38" t="s">
        <v>336</v>
      </c>
      <c r="D16" s="10">
        <v>1</v>
      </c>
      <c r="E16" s="11">
        <v>859.65</v>
      </c>
      <c r="F16" s="10">
        <f>E16*(1+Summary!$D$17)</f>
        <v>1031.58</v>
      </c>
      <c r="G16" s="79" t="s">
        <v>335</v>
      </c>
    </row>
    <row r="17" spans="2:7" x14ac:dyDescent="0.25">
      <c r="B17" s="476"/>
      <c r="C17" s="38" t="s">
        <v>338</v>
      </c>
      <c r="D17" s="10">
        <v>3</v>
      </c>
      <c r="E17" s="11">
        <v>699.07</v>
      </c>
      <c r="F17" s="10">
        <f>E17*(1+Summary!$D$17)</f>
        <v>838.88400000000001</v>
      </c>
      <c r="G17" s="79" t="s">
        <v>337</v>
      </c>
    </row>
    <row r="18" spans="2:7" x14ac:dyDescent="0.25">
      <c r="B18" s="476"/>
      <c r="C18" s="38" t="s">
        <v>341</v>
      </c>
      <c r="D18" s="10">
        <v>30</v>
      </c>
      <c r="E18" s="11">
        <v>16.899999999999999</v>
      </c>
      <c r="F18" s="10">
        <f>E18*(1+Summary!$D$17)</f>
        <v>20.279999999999998</v>
      </c>
      <c r="G18" s="79" t="s">
        <v>342</v>
      </c>
    </row>
    <row r="19" spans="2:7" x14ac:dyDescent="0.25">
      <c r="B19" s="476"/>
      <c r="C19" s="38" t="s">
        <v>267</v>
      </c>
      <c r="D19" s="10"/>
      <c r="E19" s="11">
        <v>1001.67</v>
      </c>
      <c r="F19" s="10">
        <f>E19*(1+Summary!$D$17)</f>
        <v>1202.0039999999999</v>
      </c>
      <c r="G19" s="79" t="s">
        <v>264</v>
      </c>
    </row>
    <row r="20" spans="2:7" x14ac:dyDescent="0.25">
      <c r="B20" s="476"/>
      <c r="C20" s="38" t="s">
        <v>265</v>
      </c>
      <c r="D20" s="10"/>
      <c r="E20" s="11">
        <v>352.31</v>
      </c>
      <c r="F20" s="10">
        <f>E20*(1+Summary!$D$17)</f>
        <v>422.77199999999999</v>
      </c>
      <c r="G20" s="79" t="s">
        <v>266</v>
      </c>
    </row>
    <row r="21" spans="2:7" ht="15.75" thickBot="1" x14ac:dyDescent="0.3">
      <c r="B21" s="475"/>
      <c r="C21" s="39" t="s">
        <v>328</v>
      </c>
      <c r="D21" s="22" t="s">
        <v>343</v>
      </c>
      <c r="E21" s="75">
        <v>2302.5700000000002</v>
      </c>
      <c r="F21" s="22">
        <f>E21*(1+Summary!$D$17)</f>
        <v>2763.0840000000003</v>
      </c>
      <c r="G21" s="81" t="s">
        <v>327</v>
      </c>
    </row>
    <row r="22" spans="2:7" x14ac:dyDescent="0.25">
      <c r="B22" s="474" t="s">
        <v>493</v>
      </c>
      <c r="C22" s="37" t="s">
        <v>349</v>
      </c>
      <c r="D22" s="21" t="s">
        <v>350</v>
      </c>
      <c r="E22" s="69">
        <v>3259</v>
      </c>
      <c r="F22" s="21">
        <f>E22*(1+Summary!$D$17)</f>
        <v>3910.7999999999997</v>
      </c>
      <c r="G22" s="90" t="s">
        <v>348</v>
      </c>
    </row>
    <row r="23" spans="2:7" ht="15.75" thickBot="1" x14ac:dyDescent="0.3">
      <c r="B23" s="475"/>
      <c r="C23" s="39" t="s">
        <v>441</v>
      </c>
      <c r="D23" s="22"/>
      <c r="E23" s="75">
        <f>1031.54</f>
        <v>1031.54</v>
      </c>
      <c r="F23" s="22">
        <f>E23*(1+Summary!$D$17)</f>
        <v>1237.848</v>
      </c>
      <c r="G23" s="81" t="s">
        <v>442</v>
      </c>
    </row>
    <row r="24" spans="2:7" ht="15.75" thickBot="1" x14ac:dyDescent="0.3">
      <c r="B24" s="319" t="s">
        <v>494</v>
      </c>
      <c r="C24" s="95" t="s">
        <v>351</v>
      </c>
      <c r="D24" s="88"/>
      <c r="E24" s="100">
        <v>1075</v>
      </c>
      <c r="F24" s="88">
        <f>E24*(1+Summary!$D$17)</f>
        <v>1290</v>
      </c>
      <c r="G24" s="101" t="s">
        <v>352</v>
      </c>
    </row>
  </sheetData>
  <mergeCells count="4">
    <mergeCell ref="B3:B9"/>
    <mergeCell ref="B10:B11"/>
    <mergeCell ref="B13:B21"/>
    <mergeCell ref="B22:B23"/>
  </mergeCells>
  <hyperlinks>
    <hyperlink ref="G10" r:id="rId1" xr:uid="{00000000-0004-0000-0600-000000000000}"/>
    <hyperlink ref="G11" r:id="rId2" xr:uid="{00000000-0004-0000-0600-000001000000}"/>
    <hyperlink ref="G3" r:id="rId3" xr:uid="{00000000-0004-0000-0600-000002000000}"/>
    <hyperlink ref="G5" r:id="rId4" xr:uid="{00000000-0004-0000-0600-000003000000}"/>
    <hyperlink ref="G4" r:id="rId5" xr:uid="{00000000-0004-0000-0600-000007000000}"/>
    <hyperlink ref="G19" r:id="rId6" xr:uid="{00000000-0004-0000-0600-000008000000}"/>
    <hyperlink ref="G20" r:id="rId7" xr:uid="{00000000-0004-0000-0600-000009000000}"/>
    <hyperlink ref="G12" r:id="rId8" xr:uid="{F19EC9CD-DC53-4EFD-8A0A-48878CDB7422}"/>
    <hyperlink ref="G13" r:id="rId9" xr:uid="{A4C7276F-7168-490B-BEB2-32AC6233E6FA}"/>
    <hyperlink ref="G14" r:id="rId10" xr:uid="{055614BC-01C0-4B4C-A0ED-5FF8F51C7B2E}"/>
    <hyperlink ref="G15" r:id="rId11" xr:uid="{4AAE0EA1-9B29-404E-808F-5F20B5CB209A}"/>
    <hyperlink ref="G16" r:id="rId12" xr:uid="{2064E6CC-B012-4F85-84BD-4BEEE0ADB236}"/>
    <hyperlink ref="G17" r:id="rId13" xr:uid="{20B57005-5733-46FC-A599-FDAE90D8F45C}"/>
    <hyperlink ref="G18" r:id="rId14" xr:uid="{CEA2462A-FEA4-4128-8BC5-F267CC225FDC}"/>
    <hyperlink ref="G21" r:id="rId15" xr:uid="{810E01CC-42CA-420E-A1E9-D2266529E894}"/>
    <hyperlink ref="G22" r:id="rId16" xr:uid="{8DAC8B45-F298-464A-B2E7-151F206A1C68}"/>
    <hyperlink ref="G23" r:id="rId17" xr:uid="{24BF8C79-4A7B-4569-B195-D9C730161DED}"/>
    <hyperlink ref="G24" r:id="rId18" xr:uid="{F2E381E2-49C0-4630-A9BA-32A395E37EAE}"/>
    <hyperlink ref="G8" r:id="rId19" xr:uid="{9564B0DA-BC67-4507-8A51-942DEBAD3FA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F19"/>
  <sheetViews>
    <sheetView showGridLines="0" workbookViewId="0">
      <selection activeCell="A5" sqref="A5"/>
    </sheetView>
  </sheetViews>
  <sheetFormatPr baseColWidth="10" defaultRowHeight="15" x14ac:dyDescent="0.25"/>
  <cols>
    <col min="1" max="1" width="3.5703125" customWidth="1"/>
    <col min="2" max="2" width="28.28515625" bestFit="1" customWidth="1"/>
    <col min="3" max="3" width="11.85546875" bestFit="1" customWidth="1"/>
    <col min="4" max="4" width="16.5703125" bestFit="1" customWidth="1"/>
    <col min="5" max="5" width="17" bestFit="1" customWidth="1"/>
    <col min="6" max="6" width="165" customWidth="1"/>
  </cols>
  <sheetData>
    <row r="1" spans="1:6" ht="15.75" thickBot="1" x14ac:dyDescent="0.3"/>
    <row r="2" spans="1:6" ht="15.75" thickBot="1" x14ac:dyDescent="0.3">
      <c r="B2" s="314" t="s">
        <v>25</v>
      </c>
      <c r="C2" s="315" t="s">
        <v>169</v>
      </c>
      <c r="D2" s="316" t="s">
        <v>481</v>
      </c>
      <c r="E2" s="316" t="s">
        <v>482</v>
      </c>
      <c r="F2" s="317" t="s">
        <v>181</v>
      </c>
    </row>
    <row r="3" spans="1:6" ht="30" x14ac:dyDescent="0.25">
      <c r="B3" s="302" t="s">
        <v>567</v>
      </c>
      <c r="C3" s="303" t="s">
        <v>102</v>
      </c>
      <c r="D3" s="304">
        <v>149</v>
      </c>
      <c r="E3" s="305">
        <f>D3/(1+Summary!$D$17)</f>
        <v>124.16666666666667</v>
      </c>
      <c r="F3" s="306" t="s">
        <v>101</v>
      </c>
    </row>
    <row r="4" spans="1:6" ht="30" x14ac:dyDescent="0.25">
      <c r="B4" s="307" t="s">
        <v>104</v>
      </c>
      <c r="C4" s="308">
        <v>0.01</v>
      </c>
      <c r="D4" s="309">
        <v>129</v>
      </c>
      <c r="E4" s="310">
        <f>D4/(1+Summary!$D$17)</f>
        <v>107.5</v>
      </c>
      <c r="F4" s="311" t="s">
        <v>103</v>
      </c>
    </row>
    <row r="5" spans="1:6" x14ac:dyDescent="0.25">
      <c r="A5" s="225"/>
      <c r="B5" s="312" t="s">
        <v>31</v>
      </c>
      <c r="C5" s="38">
        <v>0.01</v>
      </c>
      <c r="D5" s="92">
        <v>60</v>
      </c>
      <c r="E5" s="94">
        <f>D5/(1+Summary!$D$17)</f>
        <v>50</v>
      </c>
      <c r="F5" s="98" t="s">
        <v>105</v>
      </c>
    </row>
    <row r="6" spans="1:6" x14ac:dyDescent="0.25">
      <c r="A6" s="225"/>
      <c r="B6" s="312" t="s">
        <v>109</v>
      </c>
      <c r="C6" s="38"/>
      <c r="D6" s="92">
        <v>167</v>
      </c>
      <c r="E6" s="94">
        <f>D6/(1+Summary!$D$17)</f>
        <v>139.16666666666669</v>
      </c>
      <c r="F6" s="98" t="s">
        <v>106</v>
      </c>
    </row>
    <row r="7" spans="1:6" ht="30" x14ac:dyDescent="0.25">
      <c r="A7" s="225"/>
      <c r="B7" s="312" t="s">
        <v>108</v>
      </c>
      <c r="C7" s="38"/>
      <c r="D7" s="92">
        <v>94</v>
      </c>
      <c r="E7" s="94">
        <f>D7/(1+Summary!$D$17)</f>
        <v>78.333333333333343</v>
      </c>
      <c r="F7" s="98" t="s">
        <v>107</v>
      </c>
    </row>
    <row r="8" spans="1:6" x14ac:dyDescent="0.25">
      <c r="A8" s="225"/>
      <c r="B8" s="312" t="s">
        <v>110</v>
      </c>
      <c r="C8" s="38"/>
      <c r="D8" s="92">
        <v>282</v>
      </c>
      <c r="E8" s="94">
        <f>D8/(1+Summary!$D$17)</f>
        <v>235</v>
      </c>
      <c r="F8" s="98" t="s">
        <v>111</v>
      </c>
    </row>
    <row r="9" spans="1:6" x14ac:dyDescent="0.25">
      <c r="A9" s="225"/>
      <c r="B9" s="312" t="s">
        <v>113</v>
      </c>
      <c r="C9" s="38"/>
      <c r="D9" s="92">
        <v>408</v>
      </c>
      <c r="E9" s="94">
        <f>D9/(1+Summary!$D$17)</f>
        <v>340</v>
      </c>
      <c r="F9" s="97"/>
    </row>
    <row r="10" spans="1:6" ht="30" x14ac:dyDescent="0.25">
      <c r="A10" s="225"/>
      <c r="B10" s="312" t="s">
        <v>114</v>
      </c>
      <c r="C10" s="38"/>
      <c r="D10" s="92">
        <v>3322</v>
      </c>
      <c r="E10" s="94">
        <f>D10/(1+Summary!$D$17)</f>
        <v>2768.3333333333335</v>
      </c>
      <c r="F10" s="98" t="s">
        <v>112</v>
      </c>
    </row>
    <row r="11" spans="1:6" ht="30" x14ac:dyDescent="0.25">
      <c r="A11" s="225"/>
      <c r="B11" s="477" t="s">
        <v>115</v>
      </c>
      <c r="C11" s="38" t="s">
        <v>116</v>
      </c>
      <c r="D11" s="92">
        <v>1390</v>
      </c>
      <c r="E11" s="94">
        <f>D11/(1+Summary!$D$17)</f>
        <v>1158.3333333333335</v>
      </c>
      <c r="F11" s="98" t="s">
        <v>117</v>
      </c>
    </row>
    <row r="12" spans="1:6" ht="30" x14ac:dyDescent="0.25">
      <c r="A12" s="225"/>
      <c r="B12" s="478"/>
      <c r="C12" s="38" t="s">
        <v>119</v>
      </c>
      <c r="D12" s="92">
        <v>1202</v>
      </c>
      <c r="E12" s="94">
        <f>D12/(1+Summary!$D$17)</f>
        <v>1001.6666666666667</v>
      </c>
      <c r="F12" s="98" t="s">
        <v>118</v>
      </c>
    </row>
    <row r="13" spans="1:6" ht="30" x14ac:dyDescent="0.25">
      <c r="A13" s="225"/>
      <c r="B13" s="478"/>
      <c r="C13" s="38" t="s">
        <v>121</v>
      </c>
      <c r="D13" s="92">
        <v>146</v>
      </c>
      <c r="E13" s="94">
        <f>D13/(1+Summary!$D$17)</f>
        <v>121.66666666666667</v>
      </c>
      <c r="F13" s="98" t="s">
        <v>120</v>
      </c>
    </row>
    <row r="14" spans="1:6" ht="30" x14ac:dyDescent="0.25">
      <c r="A14" s="225"/>
      <c r="B14" s="479"/>
      <c r="C14" s="38" t="s">
        <v>123</v>
      </c>
      <c r="D14" s="92">
        <v>162</v>
      </c>
      <c r="E14" s="94">
        <f>D14/(1+Summary!$D$17)</f>
        <v>135</v>
      </c>
      <c r="F14" s="98" t="s">
        <v>122</v>
      </c>
    </row>
    <row r="15" spans="1:6" ht="30" x14ac:dyDescent="0.25">
      <c r="A15" s="225"/>
      <c r="B15" s="477" t="s">
        <v>30</v>
      </c>
      <c r="C15" s="38" t="s">
        <v>125</v>
      </c>
      <c r="D15" s="92">
        <v>1623</v>
      </c>
      <c r="E15" s="94">
        <f>D15/(1+Summary!$D$17)</f>
        <v>1352.5</v>
      </c>
      <c r="F15" s="98" t="s">
        <v>124</v>
      </c>
    </row>
    <row r="16" spans="1:6" ht="30" x14ac:dyDescent="0.25">
      <c r="A16" s="225"/>
      <c r="B16" s="479"/>
      <c r="C16" s="93" t="s">
        <v>172</v>
      </c>
      <c r="D16" s="92">
        <v>675</v>
      </c>
      <c r="E16" s="94">
        <f>D16/(1+Summary!$D$17)</f>
        <v>562.5</v>
      </c>
      <c r="F16" s="98" t="s">
        <v>173</v>
      </c>
    </row>
    <row r="17" spans="1:6" x14ac:dyDescent="0.25">
      <c r="A17" s="225"/>
      <c r="B17" s="312" t="s">
        <v>126</v>
      </c>
      <c r="C17" s="38" t="s">
        <v>128</v>
      </c>
      <c r="D17" s="20">
        <v>308</v>
      </c>
      <c r="E17" s="94">
        <f>D17/(1+Summary!$D$17)</f>
        <v>256.66666666666669</v>
      </c>
      <c r="F17" s="98" t="s">
        <v>127</v>
      </c>
    </row>
    <row r="18" spans="1:6" x14ac:dyDescent="0.25">
      <c r="A18" s="225"/>
      <c r="B18" s="312" t="s">
        <v>209</v>
      </c>
      <c r="C18" s="38" t="s">
        <v>210</v>
      </c>
      <c r="D18" s="11">
        <f>48334.81*1.2</f>
        <v>58001.771999999997</v>
      </c>
      <c r="E18" s="94">
        <f>D18/(1+Summary!$D$17)</f>
        <v>48334.81</v>
      </c>
      <c r="F18" s="98" t="s">
        <v>208</v>
      </c>
    </row>
    <row r="19" spans="1:6" ht="15.75" thickBot="1" x14ac:dyDescent="0.3">
      <c r="A19" s="225"/>
      <c r="B19" s="313" t="s">
        <v>212</v>
      </c>
      <c r="C19" s="39" t="s">
        <v>213</v>
      </c>
      <c r="D19" s="22">
        <f>5390*1.2</f>
        <v>6468</v>
      </c>
      <c r="E19" s="94">
        <f>D19/(1+Summary!$D$17)</f>
        <v>5390</v>
      </c>
      <c r="F19" s="99" t="s">
        <v>211</v>
      </c>
    </row>
  </sheetData>
  <mergeCells count="2">
    <mergeCell ref="B11:B14"/>
    <mergeCell ref="B15:B16"/>
  </mergeCells>
  <hyperlinks>
    <hyperlink ref="F3" r:id="rId1" xr:uid="{00000000-0004-0000-0300-000000000000}"/>
    <hyperlink ref="F17" r:id="rId2" xr:uid="{00000000-0004-0000-0300-000001000000}"/>
    <hyperlink ref="F15" r:id="rId3" xr:uid="{00000000-0004-0000-0300-000002000000}"/>
    <hyperlink ref="F4" r:id="rId4" xr:uid="{17C91CA5-122D-487F-B62C-3980991E1934}"/>
    <hyperlink ref="F5" r:id="rId5" xr:uid="{C2A869EE-2F96-4614-925F-6CA4B371DB72}"/>
    <hyperlink ref="F6" r:id="rId6" xr:uid="{D0EBC0A2-C619-4A15-A1EE-1433C247088A}"/>
    <hyperlink ref="F7" r:id="rId7" xr:uid="{C6FB60E2-B3C6-4A1E-8DBC-B38B896D44BB}"/>
    <hyperlink ref="F8" r:id="rId8" xr:uid="{5DAA328B-CED5-4D1C-A543-4FCD716CB537}"/>
    <hyperlink ref="F10" r:id="rId9" xr:uid="{4E3EA835-01DE-44C2-81B1-6DEF49D48D22}"/>
    <hyperlink ref="F11" r:id="rId10" xr:uid="{D44C1749-D817-49A8-8100-38DA8F13BDCD}"/>
    <hyperlink ref="F12" r:id="rId11" xr:uid="{CE0DD8F6-C1D9-4C8E-824D-E9DF24ED93BE}"/>
    <hyperlink ref="F13" r:id="rId12" xr:uid="{83E64948-1BB5-4525-9713-79B9118F8959}"/>
    <hyperlink ref="F14" r:id="rId13" xr:uid="{A4A03384-7F4F-4E1D-B7EE-350C37081037}"/>
    <hyperlink ref="F16" r:id="rId14" xr:uid="{F25F3AA7-1A18-4D78-B3C2-7671C1A0AECE}"/>
    <hyperlink ref="F18" r:id="rId15" xr:uid="{FC2F4028-1D2B-4007-A317-C665F746A5E7}"/>
    <hyperlink ref="F19" r:id="rId16" xr:uid="{69B85A02-22FB-402F-8A33-F82B1CD5314A}"/>
  </hyperlinks>
  <pageMargins left="0.7" right="0.7" top="0.75" bottom="0.75" header="0.3" footer="0.3"/>
  <pageSetup orientation="portrait" r:id="rId17"/>
  <legacy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N34"/>
  <sheetViews>
    <sheetView showGridLines="0" tabSelected="1" topLeftCell="A6" workbookViewId="0">
      <selection activeCell="D34" sqref="D34"/>
    </sheetView>
  </sheetViews>
  <sheetFormatPr baseColWidth="10" defaultRowHeight="15" x14ac:dyDescent="0.25"/>
  <cols>
    <col min="1" max="1" width="2.85546875" style="114" customWidth="1"/>
    <col min="2" max="2" width="16.85546875" style="114" bestFit="1" customWidth="1"/>
    <col min="3" max="3" width="45.42578125" style="114" bestFit="1" customWidth="1"/>
    <col min="4" max="4" width="11.5703125" style="114" bestFit="1" customWidth="1"/>
    <col min="5" max="5" width="10.28515625" style="114" bestFit="1" customWidth="1"/>
    <col min="6" max="6" width="105.28515625" style="114" bestFit="1" customWidth="1"/>
    <col min="7" max="7" width="10.28515625" style="114" bestFit="1" customWidth="1"/>
    <col min="8" max="8" width="13.5703125" style="114" customWidth="1"/>
    <col min="9" max="16384" width="11.42578125" style="114"/>
  </cols>
  <sheetData>
    <row r="1" spans="1:14" ht="15.75" thickBot="1" x14ac:dyDescent="0.3"/>
    <row r="2" spans="1:14" ht="15.75" thickBot="1" x14ac:dyDescent="0.3">
      <c r="A2" s="225"/>
      <c r="B2" s="427" t="s">
        <v>535</v>
      </c>
      <c r="C2" s="428"/>
      <c r="D2" s="428"/>
      <c r="E2" s="428"/>
      <c r="F2" s="429"/>
    </row>
    <row r="3" spans="1:14" ht="15.75" thickBot="1" x14ac:dyDescent="0.3">
      <c r="A3" s="225"/>
      <c r="B3" s="240" t="s">
        <v>25</v>
      </c>
      <c r="C3" s="241" t="s">
        <v>198</v>
      </c>
      <c r="D3" s="241" t="s">
        <v>170</v>
      </c>
      <c r="E3" s="241" t="s">
        <v>171</v>
      </c>
      <c r="F3" s="242" t="s">
        <v>181</v>
      </c>
      <c r="N3" s="232"/>
    </row>
    <row r="4" spans="1:14" x14ac:dyDescent="0.25">
      <c r="A4" s="225"/>
      <c r="B4" s="115" t="s">
        <v>91</v>
      </c>
      <c r="C4" s="116"/>
      <c r="D4" s="243">
        <f>E4*1.2</f>
        <v>5908.19</v>
      </c>
      <c r="E4" s="239">
        <f>5908.19/1.2</f>
        <v>4923.4916666666668</v>
      </c>
      <c r="F4" s="96" t="s">
        <v>92</v>
      </c>
    </row>
    <row r="5" spans="1:14" x14ac:dyDescent="0.25">
      <c r="A5" s="225"/>
      <c r="B5" s="236" t="s">
        <v>215</v>
      </c>
      <c r="C5" s="233"/>
      <c r="D5" s="243">
        <f t="shared" ref="D5:D11" si="0">E5*1.2</f>
        <v>1221.5039999999999</v>
      </c>
      <c r="E5" s="234">
        <v>1017.92</v>
      </c>
      <c r="F5" s="98" t="s">
        <v>216</v>
      </c>
    </row>
    <row r="6" spans="1:14" x14ac:dyDescent="0.25">
      <c r="A6" s="225"/>
      <c r="B6" s="236" t="s">
        <v>35</v>
      </c>
      <c r="C6" s="233"/>
      <c r="D6" s="243">
        <f t="shared" si="0"/>
        <v>3546.576</v>
      </c>
      <c r="E6" s="234">
        <v>2955.48</v>
      </c>
      <c r="F6" s="98" t="s">
        <v>217</v>
      </c>
    </row>
    <row r="7" spans="1:14" x14ac:dyDescent="0.25">
      <c r="A7" s="225"/>
      <c r="B7" s="236" t="s">
        <v>543</v>
      </c>
      <c r="C7" s="233" t="s">
        <v>542</v>
      </c>
      <c r="D7" s="243">
        <f t="shared" si="0"/>
        <v>5220</v>
      </c>
      <c r="E7" s="234">
        <v>4350</v>
      </c>
      <c r="F7" s="98" t="s">
        <v>536</v>
      </c>
      <c r="I7" s="232"/>
    </row>
    <row r="8" spans="1:14" x14ac:dyDescent="0.25">
      <c r="A8" s="225"/>
      <c r="B8" s="236" t="s">
        <v>541</v>
      </c>
      <c r="C8" s="233" t="s">
        <v>540</v>
      </c>
      <c r="D8" s="243">
        <f t="shared" si="0"/>
        <v>393.59999999999997</v>
      </c>
      <c r="E8" s="234">
        <v>328</v>
      </c>
      <c r="F8" s="245" t="s">
        <v>538</v>
      </c>
    </row>
    <row r="9" spans="1:14" x14ac:dyDescent="0.25">
      <c r="A9" s="225"/>
      <c r="B9" s="236" t="s">
        <v>539</v>
      </c>
      <c r="C9" s="233" t="s">
        <v>540</v>
      </c>
      <c r="D9" s="243">
        <f t="shared" si="0"/>
        <v>1422</v>
      </c>
      <c r="E9" s="234">
        <v>1185</v>
      </c>
      <c r="F9" s="98" t="s">
        <v>537</v>
      </c>
    </row>
    <row r="10" spans="1:14" x14ac:dyDescent="0.25">
      <c r="A10" s="225"/>
      <c r="B10" s="236" t="s">
        <v>95</v>
      </c>
      <c r="C10" s="233"/>
      <c r="D10" s="243">
        <f t="shared" si="0"/>
        <v>182.12</v>
      </c>
      <c r="E10" s="234">
        <f>182.12/1.2</f>
        <v>151.76666666666668</v>
      </c>
      <c r="F10" s="98" t="s">
        <v>94</v>
      </c>
    </row>
    <row r="11" spans="1:14" ht="15.75" thickBot="1" x14ac:dyDescent="0.3">
      <c r="A11" s="225"/>
      <c r="B11" s="237" t="s">
        <v>97</v>
      </c>
      <c r="C11" s="238"/>
      <c r="D11" s="246">
        <f t="shared" si="0"/>
        <v>116</v>
      </c>
      <c r="E11" s="117">
        <f>116/1.2</f>
        <v>96.666666666666671</v>
      </c>
      <c r="F11" s="99" t="s">
        <v>96</v>
      </c>
    </row>
    <row r="12" spans="1:14" ht="15.75" thickBot="1" x14ac:dyDescent="0.3">
      <c r="A12" s="225"/>
    </row>
    <row r="13" spans="1:14" ht="15.75" thickBot="1" x14ac:dyDescent="0.3">
      <c r="A13" s="225"/>
      <c r="C13" s="427" t="s">
        <v>544</v>
      </c>
      <c r="D13" s="428"/>
      <c r="E13" s="428"/>
      <c r="F13" s="429"/>
    </row>
    <row r="14" spans="1:14" ht="15.75" thickBot="1" x14ac:dyDescent="0.3">
      <c r="A14" s="225"/>
      <c r="C14" s="480" t="s">
        <v>377</v>
      </c>
      <c r="D14" s="481"/>
      <c r="E14" s="481"/>
      <c r="F14" s="482"/>
    </row>
    <row r="15" spans="1:14" ht="15.75" thickBot="1" x14ac:dyDescent="0.3">
      <c r="A15" s="225"/>
      <c r="C15" s="250"/>
      <c r="D15" s="247" t="s">
        <v>39</v>
      </c>
      <c r="E15" s="241" t="s">
        <v>545</v>
      </c>
      <c r="F15" s="242" t="s">
        <v>181</v>
      </c>
    </row>
    <row r="16" spans="1:14" ht="15.75" thickBot="1" x14ac:dyDescent="0.3">
      <c r="A16" s="225"/>
      <c r="C16" s="252" t="s">
        <v>546</v>
      </c>
      <c r="D16" s="253">
        <v>200</v>
      </c>
      <c r="E16" s="483" t="s">
        <v>553</v>
      </c>
      <c r="F16" s="484"/>
    </row>
    <row r="17" spans="1:6" ht="15.75" thickBot="1" x14ac:dyDescent="0.3">
      <c r="A17" s="225"/>
      <c r="C17" s="250" t="s">
        <v>547</v>
      </c>
      <c r="D17" s="248">
        <v>18</v>
      </c>
      <c r="E17" s="485"/>
      <c r="F17" s="486"/>
    </row>
    <row r="18" spans="1:6" ht="15.75" thickBot="1" x14ac:dyDescent="0.3">
      <c r="A18" s="225"/>
      <c r="C18" s="250" t="s">
        <v>378</v>
      </c>
      <c r="D18" s="249">
        <f>D17*5/228</f>
        <v>0.39473684210526316</v>
      </c>
      <c r="E18" s="485"/>
      <c r="F18" s="486"/>
    </row>
    <row r="19" spans="1:6" ht="15.75" thickBot="1" x14ac:dyDescent="0.3">
      <c r="A19" s="225"/>
      <c r="C19" s="250" t="s">
        <v>379</v>
      </c>
      <c r="D19" s="248">
        <v>5.5</v>
      </c>
      <c r="E19" s="485"/>
      <c r="F19" s="486"/>
    </row>
    <row r="20" spans="1:6" ht="15.75" thickBot="1" x14ac:dyDescent="0.3">
      <c r="A20" s="225"/>
      <c r="C20" s="250" t="s">
        <v>380</v>
      </c>
      <c r="D20" s="251">
        <f>D18*D16/D19</f>
        <v>14.354066985645932</v>
      </c>
      <c r="E20" s="487"/>
      <c r="F20" s="488"/>
    </row>
    <row r="21" spans="1:6" ht="15.75" thickBot="1" x14ac:dyDescent="0.3">
      <c r="A21" s="225"/>
      <c r="C21" s="480" t="s">
        <v>552</v>
      </c>
      <c r="D21" s="481"/>
      <c r="E21" s="481"/>
      <c r="F21" s="482"/>
    </row>
    <row r="22" spans="1:6" ht="15.75" thickBot="1" x14ac:dyDescent="0.3">
      <c r="A22" s="225"/>
      <c r="C22" s="250"/>
      <c r="D22" s="247" t="s">
        <v>39</v>
      </c>
      <c r="E22" s="489" t="s">
        <v>181</v>
      </c>
      <c r="F22" s="490"/>
    </row>
    <row r="23" spans="1:6" ht="15.75" thickBot="1" x14ac:dyDescent="0.3">
      <c r="C23" s="250" t="s">
        <v>381</v>
      </c>
      <c r="D23" s="275"/>
      <c r="E23" s="483" t="s">
        <v>548</v>
      </c>
      <c r="F23" s="484"/>
    </row>
    <row r="24" spans="1:6" ht="15.75" thickBot="1" x14ac:dyDescent="0.3">
      <c r="C24" s="250" t="s">
        <v>549</v>
      </c>
      <c r="D24" s="276"/>
      <c r="E24" s="485"/>
      <c r="F24" s="486"/>
    </row>
    <row r="25" spans="1:6" ht="15.75" thickBot="1" x14ac:dyDescent="0.3">
      <c r="C25" s="250" t="s">
        <v>382</v>
      </c>
      <c r="D25" s="276"/>
      <c r="E25" s="485"/>
      <c r="F25" s="486"/>
    </row>
    <row r="26" spans="1:6" ht="15.75" thickBot="1" x14ac:dyDescent="0.3">
      <c r="A26" s="225"/>
      <c r="C26" s="250" t="s">
        <v>550</v>
      </c>
      <c r="D26" s="233">
        <f>7.8*1000*PI()*(D24*0.001)^2*1</f>
        <v>0</v>
      </c>
      <c r="E26" s="485"/>
      <c r="F26" s="486"/>
    </row>
    <row r="27" spans="1:6" ht="15.75" thickBot="1" x14ac:dyDescent="0.3">
      <c r="A27" s="225"/>
      <c r="C27" s="250" t="s">
        <v>560</v>
      </c>
      <c r="D27" s="277">
        <f>D23*D26</f>
        <v>0</v>
      </c>
      <c r="E27" s="487"/>
      <c r="F27" s="488"/>
    </row>
    <row r="28" spans="1:6" ht="15.75" thickBot="1" x14ac:dyDescent="0.3">
      <c r="A28" s="225"/>
      <c r="C28" s="491" t="s">
        <v>404</v>
      </c>
      <c r="D28" s="492"/>
      <c r="E28" s="492"/>
      <c r="F28" s="493"/>
    </row>
    <row r="29" spans="1:6" ht="15.75" thickBot="1" x14ac:dyDescent="0.3">
      <c r="A29" s="225"/>
      <c r="C29" s="254"/>
      <c r="D29" s="255" t="s">
        <v>39</v>
      </c>
      <c r="E29" s="489" t="s">
        <v>181</v>
      </c>
      <c r="F29" s="490"/>
    </row>
    <row r="30" spans="1:6" ht="15.75" thickBot="1" x14ac:dyDescent="0.3">
      <c r="A30" s="225"/>
      <c r="C30" s="250" t="s">
        <v>641</v>
      </c>
      <c r="D30" s="256">
        <v>156</v>
      </c>
      <c r="E30" s="483" t="s">
        <v>551</v>
      </c>
      <c r="F30" s="484"/>
    </row>
    <row r="31" spans="1:6" ht="15.75" thickBot="1" x14ac:dyDescent="0.3">
      <c r="A31" s="225"/>
      <c r="C31" s="250" t="s">
        <v>642</v>
      </c>
      <c r="D31" s="235">
        <f>'Manpower &amp; time'!H16*2</f>
        <v>55.666772252138102</v>
      </c>
      <c r="E31" s="485"/>
      <c r="F31" s="486"/>
    </row>
    <row r="32" spans="1:6" ht="15.75" thickBot="1" x14ac:dyDescent="0.3">
      <c r="A32" s="225"/>
      <c r="C32" s="250" t="s">
        <v>644</v>
      </c>
      <c r="D32" s="244">
        <f>D31*D30</f>
        <v>8684.0164713335434</v>
      </c>
      <c r="E32" s="487"/>
      <c r="F32" s="488"/>
    </row>
    <row r="33" spans="3:4" ht="15.75" thickBot="1" x14ac:dyDescent="0.3"/>
    <row r="34" spans="3:4" ht="15.75" thickBot="1" x14ac:dyDescent="0.3">
      <c r="C34" s="283" t="s">
        <v>643</v>
      </c>
      <c r="D34" s="284">
        <f>SUM(D20,D27,D32)</f>
        <v>8698.37053831919</v>
      </c>
    </row>
  </sheetData>
  <mergeCells count="10">
    <mergeCell ref="C14:F14"/>
    <mergeCell ref="C21:F21"/>
    <mergeCell ref="B2:F2"/>
    <mergeCell ref="C13:F13"/>
    <mergeCell ref="E30:F32"/>
    <mergeCell ref="E22:F22"/>
    <mergeCell ref="E23:F27"/>
    <mergeCell ref="E16:F20"/>
    <mergeCell ref="C28:F28"/>
    <mergeCell ref="E29:F29"/>
  </mergeCells>
  <hyperlinks>
    <hyperlink ref="F7" r:id="rId1" xr:uid="{00000000-0004-0000-0A00-000000000000}"/>
    <hyperlink ref="F4" r:id="rId2" xr:uid="{00000000-0004-0000-0A00-000003000000}"/>
    <hyperlink ref="F6" r:id="rId3" xr:uid="{00000000-0004-0000-0A00-000004000000}"/>
    <hyperlink ref="F5" r:id="rId4" xr:uid="{5120C19D-491D-4E5B-89C1-8686C76B5B2B}"/>
    <hyperlink ref="F9" r:id="rId5" xr:uid="{66BF594B-4A31-4282-B626-B0B6B928A2FE}"/>
    <hyperlink ref="F10" r:id="rId6" xr:uid="{04D0FF48-600A-44AB-83A0-23258AD99983}"/>
    <hyperlink ref="F11" r:id="rId7" xr:uid="{FA24D7B5-B09A-4622-837A-18941FED5801}"/>
    <hyperlink ref="F8" r:id="rId8" xr:uid="{C3A9DDC6-C30A-4F8C-9990-F0DA350AA1C2}"/>
  </hyperlinks>
  <pageMargins left="0.7" right="0.7" top="0.75" bottom="0.75" header="0.3" footer="0.3"/>
  <pageSetup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0086-F0B7-408C-82FE-7CDCCC9406F5}">
  <sheetPr>
    <tabColor theme="7"/>
  </sheetPr>
  <dimension ref="A1:N34"/>
  <sheetViews>
    <sheetView showGridLines="0" topLeftCell="A2" workbookViewId="0">
      <selection activeCell="C30" sqref="C30"/>
    </sheetView>
  </sheetViews>
  <sheetFormatPr baseColWidth="10" defaultRowHeight="15" x14ac:dyDescent="0.25"/>
  <cols>
    <col min="1" max="1" width="2.85546875" style="114" customWidth="1"/>
    <col min="2" max="2" width="16.85546875" style="114" bestFit="1" customWidth="1"/>
    <col min="3" max="3" width="45.42578125" style="114" bestFit="1" customWidth="1"/>
    <col min="4" max="4" width="11.5703125" style="114" bestFit="1" customWidth="1"/>
    <col min="5" max="5" width="10.28515625" style="114" bestFit="1" customWidth="1"/>
    <col min="6" max="6" width="105.28515625" style="114" bestFit="1" customWidth="1"/>
    <col min="7" max="7" width="10.28515625" style="114" bestFit="1" customWidth="1"/>
    <col min="8" max="8" width="13.5703125" style="114" customWidth="1"/>
    <col min="9" max="16384" width="11.42578125" style="114"/>
  </cols>
  <sheetData>
    <row r="1" spans="1:14" ht="15.75" thickBot="1" x14ac:dyDescent="0.3"/>
    <row r="2" spans="1:14" ht="15.75" thickBot="1" x14ac:dyDescent="0.3">
      <c r="A2" s="225"/>
      <c r="B2" s="427" t="s">
        <v>535</v>
      </c>
      <c r="C2" s="428"/>
      <c r="D2" s="428"/>
      <c r="E2" s="428"/>
      <c r="F2" s="429"/>
    </row>
    <row r="3" spans="1:14" ht="15.75" thickBot="1" x14ac:dyDescent="0.3">
      <c r="A3" s="225"/>
      <c r="B3" s="240" t="s">
        <v>25</v>
      </c>
      <c r="C3" s="241" t="s">
        <v>198</v>
      </c>
      <c r="D3" s="241" t="s">
        <v>170</v>
      </c>
      <c r="E3" s="241" t="s">
        <v>171</v>
      </c>
      <c r="F3" s="242" t="s">
        <v>181</v>
      </c>
      <c r="N3" s="232"/>
    </row>
    <row r="4" spans="1:14" x14ac:dyDescent="0.25">
      <c r="A4" s="225"/>
      <c r="B4" s="115" t="s">
        <v>91</v>
      </c>
      <c r="C4" s="116"/>
      <c r="D4" s="243">
        <f>E4*1.2</f>
        <v>5908.19</v>
      </c>
      <c r="E4" s="239">
        <f>5908.19/1.2</f>
        <v>4923.4916666666668</v>
      </c>
      <c r="F4" s="96" t="s">
        <v>92</v>
      </c>
    </row>
    <row r="5" spans="1:14" x14ac:dyDescent="0.25">
      <c r="A5" s="225"/>
      <c r="B5" s="236" t="s">
        <v>215</v>
      </c>
      <c r="C5" s="233"/>
      <c r="D5" s="243">
        <f t="shared" ref="D5:D11" si="0">E5*1.2</f>
        <v>1221.5039999999999</v>
      </c>
      <c r="E5" s="234">
        <v>1017.92</v>
      </c>
      <c r="F5" s="98" t="s">
        <v>216</v>
      </c>
    </row>
    <row r="6" spans="1:14" x14ac:dyDescent="0.25">
      <c r="A6" s="225"/>
      <c r="B6" s="236" t="s">
        <v>35</v>
      </c>
      <c r="C6" s="233"/>
      <c r="D6" s="243">
        <f t="shared" si="0"/>
        <v>3546.576</v>
      </c>
      <c r="E6" s="234">
        <v>2955.48</v>
      </c>
      <c r="F6" s="98" t="s">
        <v>217</v>
      </c>
    </row>
    <row r="7" spans="1:14" x14ac:dyDescent="0.25">
      <c r="A7" s="225"/>
      <c r="B7" s="236" t="s">
        <v>543</v>
      </c>
      <c r="C7" s="233" t="s">
        <v>542</v>
      </c>
      <c r="D7" s="243">
        <f t="shared" si="0"/>
        <v>5220</v>
      </c>
      <c r="E7" s="234">
        <v>4350</v>
      </c>
      <c r="F7" s="98" t="s">
        <v>536</v>
      </c>
      <c r="I7" s="232"/>
    </row>
    <row r="8" spans="1:14" x14ac:dyDescent="0.25">
      <c r="A8" s="225"/>
      <c r="B8" s="236" t="s">
        <v>541</v>
      </c>
      <c r="C8" s="233" t="s">
        <v>540</v>
      </c>
      <c r="D8" s="243">
        <f t="shared" si="0"/>
        <v>393.59999999999997</v>
      </c>
      <c r="E8" s="234">
        <v>328</v>
      </c>
      <c r="F8" s="245" t="s">
        <v>538</v>
      </c>
    </row>
    <row r="9" spans="1:14" x14ac:dyDescent="0.25">
      <c r="A9" s="225"/>
      <c r="B9" s="236" t="s">
        <v>539</v>
      </c>
      <c r="C9" s="233" t="s">
        <v>540</v>
      </c>
      <c r="D9" s="243">
        <f t="shared" si="0"/>
        <v>1422</v>
      </c>
      <c r="E9" s="234">
        <v>1185</v>
      </c>
      <c r="F9" s="98" t="s">
        <v>537</v>
      </c>
    </row>
    <row r="10" spans="1:14" x14ac:dyDescent="0.25">
      <c r="A10" s="225"/>
      <c r="B10" s="236" t="s">
        <v>95</v>
      </c>
      <c r="C10" s="233"/>
      <c r="D10" s="243">
        <f t="shared" si="0"/>
        <v>182.12</v>
      </c>
      <c r="E10" s="234">
        <f>182.12/1.2</f>
        <v>151.76666666666668</v>
      </c>
      <c r="F10" s="98" t="s">
        <v>94</v>
      </c>
    </row>
    <row r="11" spans="1:14" ht="15.75" thickBot="1" x14ac:dyDescent="0.3">
      <c r="A11" s="225"/>
      <c r="B11" s="237" t="s">
        <v>97</v>
      </c>
      <c r="C11" s="238"/>
      <c r="D11" s="246">
        <f t="shared" si="0"/>
        <v>116</v>
      </c>
      <c r="E11" s="117">
        <f>116/1.2</f>
        <v>96.666666666666671</v>
      </c>
      <c r="F11" s="99" t="s">
        <v>96</v>
      </c>
    </row>
    <row r="12" spans="1:14" ht="15.75" thickBot="1" x14ac:dyDescent="0.3">
      <c r="A12" s="225"/>
    </row>
    <row r="13" spans="1:14" ht="15.75" thickBot="1" x14ac:dyDescent="0.3">
      <c r="A13" s="225"/>
      <c r="C13" s="427" t="s">
        <v>544</v>
      </c>
      <c r="D13" s="428"/>
      <c r="E13" s="428"/>
      <c r="F13" s="429"/>
    </row>
    <row r="14" spans="1:14" ht="15.75" thickBot="1" x14ac:dyDescent="0.3">
      <c r="A14" s="225"/>
      <c r="C14" s="480" t="s">
        <v>377</v>
      </c>
      <c r="D14" s="481"/>
      <c r="E14" s="481"/>
      <c r="F14" s="482"/>
    </row>
    <row r="15" spans="1:14" ht="15.75" thickBot="1" x14ac:dyDescent="0.3">
      <c r="A15" s="225"/>
      <c r="C15" s="250"/>
      <c r="D15" s="247" t="s">
        <v>39</v>
      </c>
      <c r="E15" s="241" t="s">
        <v>545</v>
      </c>
      <c r="F15" s="242" t="s">
        <v>181</v>
      </c>
    </row>
    <row r="16" spans="1:14" ht="15.75" thickBot="1" x14ac:dyDescent="0.3">
      <c r="A16" s="225"/>
      <c r="C16" s="252" t="s">
        <v>546</v>
      </c>
      <c r="D16" s="253">
        <v>200</v>
      </c>
      <c r="E16" s="483" t="s">
        <v>553</v>
      </c>
      <c r="F16" s="484"/>
    </row>
    <row r="17" spans="1:6" ht="15.75" thickBot="1" x14ac:dyDescent="0.3">
      <c r="A17" s="225"/>
      <c r="C17" s="250" t="s">
        <v>547</v>
      </c>
      <c r="D17" s="248">
        <v>18</v>
      </c>
      <c r="E17" s="485"/>
      <c r="F17" s="486"/>
    </row>
    <row r="18" spans="1:6" ht="15.75" thickBot="1" x14ac:dyDescent="0.3">
      <c r="A18" s="225"/>
      <c r="C18" s="250" t="s">
        <v>378</v>
      </c>
      <c r="D18" s="249">
        <f>D17*5/228</f>
        <v>0.39473684210526316</v>
      </c>
      <c r="E18" s="485"/>
      <c r="F18" s="486"/>
    </row>
    <row r="19" spans="1:6" ht="15.75" thickBot="1" x14ac:dyDescent="0.3">
      <c r="A19" s="225"/>
      <c r="C19" s="250" t="s">
        <v>379</v>
      </c>
      <c r="D19" s="248">
        <v>5.5</v>
      </c>
      <c r="E19" s="485"/>
      <c r="F19" s="486"/>
    </row>
    <row r="20" spans="1:6" ht="15.75" thickBot="1" x14ac:dyDescent="0.3">
      <c r="A20" s="225"/>
      <c r="C20" s="250" t="s">
        <v>380</v>
      </c>
      <c r="D20" s="251">
        <f>D18*D16/D19</f>
        <v>14.354066985645932</v>
      </c>
      <c r="E20" s="487"/>
      <c r="F20" s="488"/>
    </row>
    <row r="21" spans="1:6" ht="15.75" thickBot="1" x14ac:dyDescent="0.3">
      <c r="A21" s="225"/>
      <c r="C21" s="480" t="s">
        <v>552</v>
      </c>
      <c r="D21" s="481"/>
      <c r="E21" s="481"/>
      <c r="F21" s="482"/>
    </row>
    <row r="22" spans="1:6" ht="15.75" thickBot="1" x14ac:dyDescent="0.3">
      <c r="A22" s="225"/>
      <c r="C22" s="250"/>
      <c r="D22" s="247" t="s">
        <v>39</v>
      </c>
      <c r="E22" s="489" t="s">
        <v>181</v>
      </c>
      <c r="F22" s="490"/>
    </row>
    <row r="23" spans="1:6" ht="15.75" thickBot="1" x14ac:dyDescent="0.3">
      <c r="C23" s="250" t="s">
        <v>381</v>
      </c>
      <c r="D23" s="275"/>
      <c r="E23" s="483" t="s">
        <v>548</v>
      </c>
      <c r="F23" s="484"/>
    </row>
    <row r="24" spans="1:6" ht="15.75" thickBot="1" x14ac:dyDescent="0.3">
      <c r="C24" s="250" t="s">
        <v>549</v>
      </c>
      <c r="D24" s="276"/>
      <c r="E24" s="485"/>
      <c r="F24" s="486"/>
    </row>
    <row r="25" spans="1:6" ht="15.75" thickBot="1" x14ac:dyDescent="0.3">
      <c r="C25" s="250" t="s">
        <v>382</v>
      </c>
      <c r="D25" s="276"/>
      <c r="E25" s="485"/>
      <c r="F25" s="486"/>
    </row>
    <row r="26" spans="1:6" ht="15.75" thickBot="1" x14ac:dyDescent="0.3">
      <c r="A26" s="225"/>
      <c r="C26" s="250" t="s">
        <v>550</v>
      </c>
      <c r="D26" s="233">
        <f>7.8*1000*PI()*(D24*0.001)^2*1</f>
        <v>0</v>
      </c>
      <c r="E26" s="485"/>
      <c r="F26" s="486"/>
    </row>
    <row r="27" spans="1:6" ht="15.75" thickBot="1" x14ac:dyDescent="0.3">
      <c r="A27" s="225"/>
      <c r="C27" s="250" t="s">
        <v>560</v>
      </c>
      <c r="D27" s="277">
        <f>D23*D26</f>
        <v>0</v>
      </c>
      <c r="E27" s="487"/>
      <c r="F27" s="488"/>
    </row>
    <row r="28" spans="1:6" ht="15.75" thickBot="1" x14ac:dyDescent="0.3">
      <c r="A28" s="225"/>
      <c r="C28" s="491" t="s">
        <v>404</v>
      </c>
      <c r="D28" s="492"/>
      <c r="E28" s="492"/>
      <c r="F28" s="493"/>
    </row>
    <row r="29" spans="1:6" ht="15.75" thickBot="1" x14ac:dyDescent="0.3">
      <c r="A29" s="225"/>
      <c r="C29" s="254"/>
      <c r="D29" s="255" t="s">
        <v>39</v>
      </c>
      <c r="E29" s="489" t="s">
        <v>181</v>
      </c>
      <c r="F29" s="490"/>
    </row>
    <row r="30" spans="1:6" ht="15.75" thickBot="1" x14ac:dyDescent="0.3">
      <c r="A30" s="225"/>
      <c r="C30" s="250" t="s">
        <v>405</v>
      </c>
      <c r="D30" s="256">
        <f>30/(2*PI()*0.034)</f>
        <v>140.43083213990764</v>
      </c>
      <c r="E30" s="483" t="s">
        <v>551</v>
      </c>
      <c r="F30" s="484"/>
    </row>
    <row r="31" spans="1:6" ht="15.75" thickBot="1" x14ac:dyDescent="0.3">
      <c r="A31" s="225"/>
      <c r="C31" s="250" t="s">
        <v>406</v>
      </c>
      <c r="D31" s="235">
        <f>'Manpower &amp; time'!H16/60</f>
        <v>0.46388976876781751</v>
      </c>
      <c r="E31" s="485"/>
      <c r="F31" s="486"/>
    </row>
    <row r="32" spans="1:6" ht="15.75" thickBot="1" x14ac:dyDescent="0.3">
      <c r="A32" s="225"/>
      <c r="C32" s="250" t="s">
        <v>407</v>
      </c>
      <c r="D32" s="244">
        <f>D31*D30</f>
        <v>65.144426249253954</v>
      </c>
      <c r="E32" s="487"/>
      <c r="F32" s="488"/>
    </row>
    <row r="33" spans="3:4" ht="15.75" thickBot="1" x14ac:dyDescent="0.3"/>
    <row r="34" spans="3:4" ht="15.75" thickBot="1" x14ac:dyDescent="0.3">
      <c r="C34" s="283" t="s">
        <v>561</v>
      </c>
      <c r="D34" s="284">
        <f>SUM(D20,D27,D32)</f>
        <v>79.498493234899883</v>
      </c>
    </row>
  </sheetData>
  <mergeCells count="10">
    <mergeCell ref="E23:F27"/>
    <mergeCell ref="C28:F28"/>
    <mergeCell ref="E29:F29"/>
    <mergeCell ref="E30:F32"/>
    <mergeCell ref="B2:F2"/>
    <mergeCell ref="C13:F13"/>
    <mergeCell ref="C14:F14"/>
    <mergeCell ref="E16:F20"/>
    <mergeCell ref="C21:F21"/>
    <mergeCell ref="E22:F22"/>
  </mergeCells>
  <hyperlinks>
    <hyperlink ref="F7" r:id="rId1" xr:uid="{89A64FA7-158F-498A-ADFF-B515A94CDC77}"/>
    <hyperlink ref="F4" r:id="rId2" xr:uid="{0357C78F-AA5F-4490-8FF8-418D98438716}"/>
    <hyperlink ref="F6" r:id="rId3" xr:uid="{27E3EB5A-52CD-4673-9AA1-A9EDB78698E3}"/>
    <hyperlink ref="F5" r:id="rId4" xr:uid="{4FA0052D-580F-46C3-8D8C-7394AFEC8BB6}"/>
    <hyperlink ref="F9" r:id="rId5" xr:uid="{F51D026A-54AC-4DC4-9CFA-8274A874F2E0}"/>
    <hyperlink ref="F10" r:id="rId6" xr:uid="{D3D301EA-A42C-4195-87CC-FE3F357BA7CC}"/>
    <hyperlink ref="F11" r:id="rId7" xr:uid="{15365B99-7CB1-4A95-8998-0CB03E9C66B5}"/>
    <hyperlink ref="F8" r:id="rId8" xr:uid="{14D6A4E9-35F2-4834-A92F-AE6319E1BDE9}"/>
  </hyperlinks>
  <pageMargins left="0.7" right="0.7" top="0.75" bottom="0.75" header="0.3" footer="0.3"/>
  <pageSetup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68F5-0C39-4C05-AB86-088D8961B7B9}">
  <sheetPr>
    <tabColor theme="7"/>
  </sheetPr>
  <dimension ref="A1"/>
  <sheetViews>
    <sheetView workbookViewId="0">
      <selection activeCell="M35" sqref="M3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Summary</vt:lpstr>
      <vt:lpstr>Manpower &amp; time</vt:lpstr>
      <vt:lpstr>Energies</vt:lpstr>
      <vt:lpstr>IT&amp;Office</vt:lpstr>
      <vt:lpstr>Manufacturing</vt:lpstr>
      <vt:lpstr>Metrology</vt:lpstr>
      <vt:lpstr>Welding</vt:lpstr>
      <vt:lpstr>Cutting</vt:lpstr>
      <vt:lpstr>Machining</vt:lpstr>
      <vt:lpstr>CNC mill</vt:lpstr>
      <vt:lpstr>CNC lathe</vt:lpstr>
      <vt:lpstr>Laser cutter</vt:lpstr>
      <vt:lpstr>Conventionnal machinning</vt:lpstr>
      <vt:lpstr>Frame tubes</vt:lpstr>
      <vt:lpstr>Body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Louise Am</cp:lastModifiedBy>
  <dcterms:created xsi:type="dcterms:W3CDTF">2019-04-04T18:24:41Z</dcterms:created>
  <dcterms:modified xsi:type="dcterms:W3CDTF">2021-05-31T22:46:26Z</dcterms:modified>
</cp:coreProperties>
</file>