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5\Documents\02-Etudes\2019-ECL\Trans Semestres\01-EPSA\03-Trans Saisons\Git\ELIZ-2021\CR_Cost_Report\01_BOM\00_Cost_Report_Document\"/>
    </mc:Choice>
  </mc:AlternateContent>
  <xr:revisionPtr revIDLastSave="0" documentId="13_ncr:1_{5AC95AD8-6E42-492D-B051-18F1D5424E09}" xr6:coauthVersionLast="46" xr6:coauthVersionMax="46" xr10:uidLastSave="{00000000-0000-0000-0000-000000000000}"/>
  <bookViews>
    <workbookView xWindow="-120" yWindow="-120" windowWidth="29040" windowHeight="15840" tabRatio="667" activeTab="1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1" l="1"/>
  <c r="E16" i="11"/>
  <c r="D6" i="6" s="1"/>
  <c r="H15" i="11"/>
  <c r="E15" i="11"/>
  <c r="G15" i="11" s="1"/>
  <c r="D15" i="11"/>
  <c r="D18" i="11"/>
  <c r="E18" i="11" s="1"/>
  <c r="G18" i="11" s="1"/>
  <c r="D17" i="11"/>
  <c r="E17" i="11" s="1"/>
  <c r="D4" i="6" s="1"/>
  <c r="C12" i="13"/>
  <c r="D15" i="6" s="1"/>
  <c r="D14" i="6"/>
  <c r="D13" i="6"/>
  <c r="E19" i="11"/>
  <c r="G19" i="11" s="1"/>
  <c r="D5" i="6"/>
  <c r="G17" i="11" l="1"/>
  <c r="D8" i="6"/>
  <c r="D7" i="6"/>
  <c r="I27" i="6" l="1"/>
  <c r="K27" i="6" s="1"/>
  <c r="B6" i="13"/>
  <c r="B7" i="13" l="1"/>
  <c r="G20" i="11" l="1"/>
  <c r="C43" i="11"/>
  <c r="R42" i="6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D61" i="2"/>
  <c r="Q22" i="2"/>
  <c r="E16" i="2"/>
  <c r="Q11" i="2"/>
  <c r="E28" i="2"/>
  <c r="W7" i="2"/>
  <c r="K37" i="2"/>
  <c r="R39" i="2"/>
  <c r="J12" i="2"/>
  <c r="E40" i="2"/>
  <c r="D62" i="2"/>
  <c r="I47" i="6" l="1"/>
  <c r="G27" i="8"/>
  <c r="I37" i="6" s="1"/>
  <c r="K37" i="6" s="1"/>
  <c r="N50" i="6" l="1"/>
  <c r="J14" i="5"/>
  <c r="N84" i="6" s="1"/>
  <c r="N38" i="6" l="1"/>
  <c r="L36" i="11"/>
  <c r="R47" i="6"/>
  <c r="T47" i="6" s="1"/>
  <c r="R46" i="6"/>
  <c r="T46" i="6" s="1"/>
  <c r="B32" i="10"/>
  <c r="N39" i="6" s="1"/>
  <c r="I16" i="6" l="1"/>
  <c r="R49" i="6"/>
  <c r="T49" i="6" s="1"/>
  <c r="B28" i="10" l="1"/>
  <c r="B29" i="10" s="1"/>
  <c r="R43" i="6" s="1"/>
  <c r="B22" i="10"/>
  <c r="B23" i="10" s="1"/>
  <c r="R44" i="6" s="1"/>
  <c r="B15" i="10"/>
  <c r="B17" i="10" s="1"/>
  <c r="R45" i="6" s="1"/>
  <c r="R7" i="5" l="1"/>
  <c r="G5" i="5"/>
  <c r="R27" i="6" s="1"/>
  <c r="S5" i="5"/>
  <c r="R5" i="5"/>
  <c r="R8" i="5" l="1"/>
  <c r="I13" i="6"/>
  <c r="K47" i="6"/>
  <c r="I36" i="6"/>
  <c r="K36" i="6" s="1"/>
  <c r="I44" i="6" l="1"/>
  <c r="K44" i="6" s="1"/>
  <c r="I42" i="6"/>
  <c r="K42" i="6" s="1"/>
  <c r="G6" i="8"/>
  <c r="K41" i="6"/>
  <c r="K40" i="6"/>
  <c r="I45" i="6" l="1"/>
  <c r="B2" i="4"/>
  <c r="R12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R20" i="6" s="1"/>
  <c r="R21" i="6" l="1"/>
  <c r="T21" i="6" s="1"/>
  <c r="T20" i="6"/>
  <c r="F13" i="4"/>
  <c r="F14" i="4"/>
  <c r="R18" i="6" s="1"/>
  <c r="T18" i="6" s="1"/>
  <c r="F12" i="4"/>
  <c r="E12" i="4"/>
  <c r="R14" i="6"/>
  <c r="T14" i="6" s="1"/>
  <c r="B7" i="4"/>
  <c r="R13" i="6" s="1"/>
  <c r="T13" i="6" s="1"/>
  <c r="T12" i="6"/>
  <c r="N14" i="6"/>
  <c r="N16" i="6"/>
  <c r="R15" i="6"/>
  <c r="T15" i="6" s="1"/>
  <c r="N18" i="6" l="1"/>
  <c r="N17" i="6"/>
  <c r="S82" i="6"/>
  <c r="S68" i="6"/>
  <c r="I43" i="6" l="1"/>
  <c r="I34" i="6"/>
  <c r="I32" i="6"/>
  <c r="N6" i="6" l="1"/>
  <c r="F20" i="11" l="1"/>
  <c r="L35" i="11"/>
  <c r="L34" i="11"/>
  <c r="N8" i="6"/>
  <c r="I11" i="6" l="1"/>
  <c r="K11" i="6" s="1"/>
  <c r="I17" i="6"/>
  <c r="K17" i="6" s="1"/>
  <c r="N9" i="6"/>
  <c r="N10" i="6"/>
  <c r="R38" i="6"/>
  <c r="T38" i="6" s="1"/>
  <c r="R39" i="6"/>
  <c r="T39" i="6" s="1"/>
  <c r="R37" i="6"/>
  <c r="T37" i="6" s="1"/>
  <c r="R36" i="6"/>
  <c r="T36" i="6" s="1"/>
  <c r="I10" i="6"/>
  <c r="K10" i="6" s="1"/>
  <c r="I7" i="6"/>
  <c r="K7" i="6" s="1"/>
  <c r="R40" i="6"/>
  <c r="T40" i="6" s="1"/>
  <c r="E29" i="3"/>
  <c r="F29" i="3" s="1"/>
  <c r="G4" i="8"/>
  <c r="K43" i="6"/>
  <c r="G12" i="8"/>
  <c r="G5" i="8"/>
  <c r="G3" i="8"/>
  <c r="R6" i="6"/>
  <c r="R5" i="6"/>
  <c r="T5" i="6" s="1"/>
  <c r="K13" i="6"/>
  <c r="K45" i="6"/>
  <c r="K34" i="6"/>
  <c r="K32" i="6"/>
  <c r="K33" i="6"/>
  <c r="B22" i="3"/>
  <c r="R4" i="6" s="1"/>
  <c r="B2" i="3"/>
  <c r="T6" i="6" l="1"/>
  <c r="R48" i="6"/>
  <c r="T48" i="6" s="1"/>
  <c r="S101" i="6" s="1"/>
  <c r="I35" i="6"/>
  <c r="K35" i="6" s="1"/>
  <c r="K16" i="6"/>
  <c r="I38" i="6"/>
  <c r="F31" i="3"/>
  <c r="R41" i="6"/>
  <c r="T41" i="6" s="1"/>
  <c r="S94" i="6" s="1"/>
  <c r="R7" i="6"/>
  <c r="T7" i="6" s="1"/>
  <c r="T4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I9" i="6" s="1"/>
  <c r="K9" i="6" s="1"/>
  <c r="E3" i="9"/>
  <c r="I23" i="6" s="1"/>
  <c r="K23" i="6" s="1"/>
  <c r="E7" i="9"/>
  <c r="E8" i="9"/>
  <c r="E12" i="9"/>
  <c r="E13" i="9"/>
  <c r="E14" i="9"/>
  <c r="E16" i="9"/>
  <c r="E17" i="9"/>
  <c r="E18" i="9"/>
  <c r="E19" i="9"/>
  <c r="E6" i="9"/>
  <c r="I19" i="6" s="1"/>
  <c r="K19" i="6" s="1"/>
  <c r="I21" i="6"/>
  <c r="K21" i="6" s="1"/>
  <c r="C28" i="11"/>
  <c r="I14" i="6"/>
  <c r="K14" i="6" s="1"/>
  <c r="C29" i="11" l="1"/>
  <c r="C30" i="11" s="1"/>
  <c r="H18" i="11" s="1"/>
  <c r="D10" i="6"/>
  <c r="I18" i="6"/>
  <c r="K18" i="6" s="1"/>
  <c r="R23" i="6"/>
  <c r="R50" i="6"/>
  <c r="R10" i="6"/>
  <c r="T10" i="6" s="1"/>
  <c r="S54" i="6" s="1"/>
  <c r="K38" i="6"/>
  <c r="I39" i="6"/>
  <c r="K39" i="6" s="1"/>
  <c r="R16" i="6"/>
  <c r="R8" i="6"/>
  <c r="I15" i="6"/>
  <c r="K15" i="6" s="1"/>
  <c r="I20" i="6"/>
  <c r="K20" i="6" s="1"/>
  <c r="I6" i="6"/>
  <c r="K6" i="6" s="1"/>
  <c r="I8" i="6"/>
  <c r="K8" i="6" s="1"/>
  <c r="I5" i="6"/>
  <c r="K5" i="6" s="1"/>
  <c r="I4" i="6"/>
  <c r="K4" i="6" s="1"/>
  <c r="I46" i="6" l="1"/>
  <c r="K46" i="6" s="1"/>
  <c r="C39" i="11"/>
  <c r="F39" i="11"/>
  <c r="G39" i="11"/>
  <c r="D39" i="11"/>
  <c r="E39" i="11"/>
  <c r="I12" i="6"/>
  <c r="K12" i="6" s="1"/>
  <c r="K50" i="6" s="1"/>
  <c r="K39" i="11"/>
  <c r="H39" i="11"/>
  <c r="J39" i="11"/>
  <c r="H17" i="11"/>
  <c r="H19" i="11"/>
  <c r="K54" i="6"/>
  <c r="J38" i="11"/>
  <c r="E38" i="11"/>
  <c r="L37" i="11" s="1"/>
  <c r="G38" i="11"/>
  <c r="K38" i="11"/>
  <c r="H38" i="11"/>
  <c r="D38" i="11"/>
  <c r="C38" i="11"/>
  <c r="F38" i="11"/>
  <c r="I38" i="11"/>
  <c r="I39" i="11" l="1"/>
  <c r="K51" i="6" s="1"/>
  <c r="K53" i="6"/>
  <c r="K52" i="6"/>
  <c r="B33" i="10"/>
  <c r="B34" i="10" s="1"/>
  <c r="K55" i="6"/>
  <c r="L38" i="11"/>
  <c r="L39" i="11" l="1"/>
  <c r="S95" i="6"/>
  <c r="S96" i="6" s="1"/>
  <c r="S98" i="6" s="1"/>
  <c r="S83" i="6"/>
  <c r="S93" i="6" s="1"/>
  <c r="S102" i="6"/>
  <c r="S106" i="6" s="1"/>
  <c r="S92" i="6"/>
  <c r="S91" i="6"/>
  <c r="S90" i="6"/>
  <c r="S89" i="6"/>
  <c r="S64" i="6"/>
  <c r="S62" i="6"/>
  <c r="S65" i="6"/>
  <c r="S61" i="6"/>
  <c r="S76" i="6"/>
  <c r="S79" i="6"/>
  <c r="S75" i="6"/>
  <c r="S78" i="6"/>
  <c r="S63" i="6"/>
  <c r="S80" i="6"/>
  <c r="S77" i="6"/>
  <c r="S66" i="6"/>
  <c r="S55" i="6"/>
  <c r="S67" i="6" s="1"/>
  <c r="S69" i="6"/>
  <c r="S84" i="6" l="1"/>
  <c r="S86" i="6" s="1"/>
  <c r="S87" i="6" s="1"/>
  <c r="S103" i="6"/>
  <c r="S105" i="6" s="1"/>
  <c r="S99" i="6"/>
  <c r="S56" i="6"/>
  <c r="S58" i="6" s="1"/>
  <c r="S59" i="6" s="1"/>
  <c r="S70" i="6"/>
  <c r="S72" i="6" s="1"/>
  <c r="S73" i="6" s="1"/>
  <c r="S81" i="6"/>
</calcChain>
</file>

<file path=xl/sharedStrings.xml><?xml version="1.0" encoding="utf-8"?>
<sst xmlns="http://schemas.openxmlformats.org/spreadsheetml/2006/main" count="826" uniqueCount="577">
  <si>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</si>
  <si>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</si>
  <si>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</si>
  <si>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</si>
  <si>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</si>
  <si>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</si>
  <si>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</si>
  <si>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</si>
  <si>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</si>
  <si>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</si>
  <si>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</si>
  <si>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</si>
  <si>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</si>
  <si>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</si>
  <si>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</si>
  <si>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</si>
  <si>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</si>
  <si>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</si>
  <si>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</si>
  <si>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</si>
  <si>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</si>
  <si>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</si>
  <si>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</si>
  <si>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</si>
  <si>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</si>
  <si>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</si>
  <si>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</si>
  <si>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</si>
  <si>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</si>
  <si>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</si>
  <si>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</si>
  <si>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</si>
  <si>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</si>
  <si>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</si>
  <si>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</si>
  <si>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</si>
  <si>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</si>
  <si>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</si>
  <si>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</si>
  <si>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</si>
  <si>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</si>
  <si>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</si>
  <si>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</si>
  <si>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Technician</t>
  </si>
  <si>
    <t>Engineer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</si>
  <si>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</si>
  <si>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</si>
  <si>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</si>
  <si>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</si>
  <si>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</si>
  <si>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</si>
  <si>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</si>
  <si>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</si>
  <si>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</si>
  <si>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</si>
  <si>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</si>
  <si>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</si>
  <si>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</si>
  <si>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</si>
  <si>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</si>
  <si>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</si>
  <si>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</si>
  <si>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</si>
  <si>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</si>
  <si>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</si>
  <si>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</si>
  <si>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</si>
  <si>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</si>
  <si>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</si>
  <si>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</si>
  <si>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</si>
  <si>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</si>
  <si>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</si>
  <si>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</si>
  <si>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</si>
  <si>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</si>
  <si>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</si>
  <si>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</si>
  <si>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</si>
  <si>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</si>
  <si>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</si>
  <si>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</si>
  <si>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</si>
  <si>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</si>
  <si>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</si>
  <si>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</si>
  <si>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</si>
  <si>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</si>
  <si>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</si>
  <si>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</si>
  <si>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</si>
  <si>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</si>
  <si>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</si>
  <si>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</si>
  <si>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</si>
  <si>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</si>
  <si>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</si>
  <si>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</si>
  <si>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</si>
  <si>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</si>
  <si>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</si>
  <si>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</si>
  <si>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</si>
  <si>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</si>
  <si>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</si>
  <si>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</si>
  <si>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</si>
  <si>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</si>
  <si>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</si>
  <si>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</si>
  <si>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</si>
  <si>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</si>
  <si>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</si>
  <si>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</si>
  <si>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</si>
  <si>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</si>
  <si>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</si>
  <si>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</si>
  <si>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</si>
  <si>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</si>
  <si>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</si>
  <si>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</si>
  <si>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</si>
  <si>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</si>
  <si>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</si>
  <si>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</si>
  <si>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</si>
  <si>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</si>
  <si>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</si>
  <si>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</si>
  <si>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</si>
  <si>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</si>
  <si>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</si>
  <si>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</si>
  <si>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</si>
  <si>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</si>
  <si>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</si>
  <si>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</si>
  <si>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</si>
  <si>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</si>
  <si>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</si>
  <si>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</si>
  <si>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</si>
  <si>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</si>
  <si>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</si>
  <si>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</si>
  <si>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</si>
  <si>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</si>
  <si>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</si>
  <si>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</si>
  <si>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</si>
  <si>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</si>
  <si>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</si>
  <si>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</si>
  <si>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</si>
  <si>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</si>
  <si>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</si>
  <si>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</si>
  <si>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</si>
  <si>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</si>
  <si>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</si>
  <si>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</si>
  <si>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</si>
  <si>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</si>
  <si>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</si>
  <si>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</si>
  <si>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</si>
  <si>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</si>
  <si>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</si>
  <si>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</si>
  <si>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</si>
  <si>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</si>
  <si>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</si>
  <si>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</si>
  <si>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</si>
  <si>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</si>
  <si>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</si>
  <si>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</si>
  <si>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</si>
  <si>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</si>
  <si>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</si>
  <si>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</si>
  <si>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</si>
  <si>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</si>
  <si>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</si>
  <si>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</si>
  <si>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</si>
  <si>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</si>
  <si>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</si>
  <si>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</si>
  <si>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</si>
  <si>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</si>
  <si>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</si>
  <si>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</si>
  <si>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</si>
  <si>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</si>
  <si>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</si>
  <si>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</si>
  <si>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</si>
  <si>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</si>
  <si>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</si>
  <si>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</si>
  <si>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</si>
  <si>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</si>
  <si>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</si>
  <si>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</si>
  <si>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</si>
  <si>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</si>
  <si>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</si>
  <si>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</si>
  <si>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</si>
  <si>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</si>
  <si>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</si>
  <si>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</si>
  <si>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</si>
  <si>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</si>
  <si>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</si>
  <si>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</si>
  <si>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</si>
  <si>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</si>
  <si>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</si>
  <si>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</si>
  <si>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</si>
  <si>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</si>
  <si>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</si>
  <si>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</si>
  <si>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</si>
  <si>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</si>
  <si>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</si>
  <si>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</si>
  <si>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</si>
  <si>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</si>
  <si>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</si>
  <si>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</si>
  <si>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</si>
  <si>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</si>
  <si>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</si>
  <si>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</si>
  <si>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</si>
  <si>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</si>
  <si>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</si>
  <si>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</si>
  <si>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</si>
  <si>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</si>
  <si>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</si>
  <si>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</si>
  <si>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</si>
  <si>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</si>
  <si>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</si>
  <si>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</si>
  <si>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</si>
  <si>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</si>
  <si>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</si>
  <si>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</si>
  <si>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</si>
  <si>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</si>
  <si>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</si>
  <si>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</si>
  <si>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</si>
  <si>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</si>
  <si>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</si>
  <si>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</si>
  <si>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</si>
  <si>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</si>
  <si>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</si>
  <si>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</si>
  <si>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</si>
  <si>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</si>
  <si>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</si>
  <si>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</si>
  <si>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</si>
  <si>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</si>
  <si>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</si>
  <si>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</si>
  <si>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</si>
  <si>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</si>
  <si>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</si>
  <si>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</si>
  <si>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</si>
  <si>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</si>
  <si>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</si>
  <si>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</si>
  <si>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</si>
  <si>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</si>
  <si>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</si>
  <si>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</si>
  <si>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</si>
  <si>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</si>
  <si>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</si>
  <si>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</si>
  <si>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</si>
  <si>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</si>
  <si>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</si>
  <si>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</si>
  <si>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</si>
  <si>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</si>
  <si>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</si>
  <si>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</si>
  <si>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</si>
  <si>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</si>
  <si>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</si>
  <si>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</si>
  <si>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</si>
  <si>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</si>
  <si>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</si>
  <si>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</si>
  <si>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</si>
  <si>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</si>
  <si>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</si>
  <si>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</si>
  <si>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</si>
  <si>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</si>
  <si>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</si>
  <si>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</si>
  <si>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</si>
  <si>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</si>
  <si>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</si>
  <si>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</si>
  <si>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</si>
  <si>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</si>
  <si>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</si>
  <si>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</si>
  <si>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</si>
  <si>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</si>
  <si>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</si>
  <si>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</si>
  <si>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</si>
  <si>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</si>
  <si>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</si>
  <si>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</si>
  <si>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</si>
  <si>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</si>
  <si>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</si>
  <si>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</si>
  <si>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</si>
  <si>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</si>
  <si>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</si>
  <si>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</si>
  <si>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</si>
  <si>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</si>
  <si>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</si>
  <si>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</si>
  <si>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</si>
  <si>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</si>
  <si>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</si>
  <si>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</si>
  <si>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</si>
  <si>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</si>
  <si>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</si>
  <si>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</si>
  <si>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</si>
  <si>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</si>
  <si>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</si>
  <si>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</si>
  <si>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</si>
  <si>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</si>
  <si>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</si>
  <si>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</si>
  <si>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</si>
  <si>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</si>
  <si>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</si>
  <si>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</si>
  <si>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</si>
  <si>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</si>
  <si>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</si>
  <si>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</si>
  <si>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</si>
  <si>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</si>
  <si>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</si>
  <si>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</si>
  <si>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</si>
  <si>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</si>
  <si>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</si>
  <si>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</si>
  <si>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</si>
  <si>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</si>
  <si>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</si>
  <si>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</si>
  <si>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</si>
  <si>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</si>
  <si>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</si>
  <si>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</si>
  <si>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</si>
  <si>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</si>
  <si>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</si>
  <si>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</si>
  <si>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</si>
  <si>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</si>
  <si>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</si>
  <si>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</si>
  <si>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</si>
  <si>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</si>
  <si>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</si>
  <si>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</si>
  <si>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</si>
  <si>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</si>
  <si>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</si>
  <si>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</si>
  <si>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</si>
  <si>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</si>
  <si>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</si>
  <si>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</si>
  <si>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</si>
  <si>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</si>
  <si>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</si>
  <si>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</si>
  <si>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</si>
  <si>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</si>
  <si>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</si>
  <si>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</si>
  <si>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</si>
  <si>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</si>
  <si>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</si>
  <si>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</si>
  <si>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</si>
  <si>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</si>
  <si>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</si>
  <si>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</si>
  <si>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</si>
  <si>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</si>
  <si>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</si>
  <si>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</si>
  <si>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</si>
  <si>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</si>
  <si>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</si>
  <si>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</si>
  <si>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</si>
  <si>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</si>
  <si>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</si>
  <si>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</si>
  <si>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</si>
  <si>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</si>
  <si>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</si>
  <si>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</si>
  <si>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</si>
  <si>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</si>
  <si>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</si>
  <si>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</si>
  <si>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</si>
  <si>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</si>
  <si>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</si>
  <si>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</si>
  <si>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</si>
  <si>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</si>
  <si>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</si>
  <si>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</si>
  <si>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</si>
  <si>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</si>
  <si>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</si>
  <si>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</si>
  <si>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</si>
  <si>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</si>
  <si>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</si>
  <si>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cost/hour</t>
  </si>
  <si>
    <t>Manwork availability (95%) /year (hrs)</t>
  </si>
  <si>
    <t>Fixed cost (5% of the time)</t>
  </si>
  <si>
    <t>Tool holders and fixtures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</si>
  <si>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</si>
  <si>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</si>
  <si>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</si>
  <si>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</si>
  <si>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</si>
  <si>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</si>
  <si>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</si>
  <si>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</si>
  <si>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</si>
  <si>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</si>
  <si>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</si>
  <si>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</si>
  <si>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</si>
  <si>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</si>
  <si>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</si>
  <si>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</si>
  <si>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</si>
  <si>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</si>
  <si>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</si>
  <si>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</si>
  <si>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</si>
  <si>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</si>
  <si>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</si>
  <si>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</si>
  <si>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</si>
  <si>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</si>
  <si>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</si>
  <si>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</si>
  <si>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</si>
  <si>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</si>
  <si>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</si>
  <si>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</si>
  <si>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</si>
  <si>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</si>
  <si>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</si>
  <si>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</si>
  <si>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</si>
  <si>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</si>
  <si>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</si>
  <si>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</si>
  <si>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</si>
  <si>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</si>
  <si>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</si>
  <si>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</si>
  <si>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</si>
  <si>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</si>
  <si>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</si>
  <si>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</si>
  <si>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</si>
  <si>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</si>
  <si>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</si>
  <si>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</si>
  <si>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</si>
  <si>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</si>
  <si>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</si>
  <si>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</si>
  <si>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</si>
  <si>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</si>
  <si>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</si>
  <si>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</si>
  <si>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</si>
  <si>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</si>
  <si>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</si>
  <si>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</si>
  <si>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</si>
  <si>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</si>
  <si>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</si>
  <si>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</si>
  <si>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</si>
  <si>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</si>
  <si>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</si>
  <si>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</si>
  <si>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</si>
  <si>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</si>
  <si>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</si>
  <si>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</si>
  <si>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</si>
  <si>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</si>
  <si>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</si>
  <si>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</si>
  <si>
    <t>Minimal Wage in France</t>
  </si>
  <si>
    <t xml:space="preserve">https://travail-emploi.gouv.fr/droit-du-travail/la-remuneration/article/le-smic-montants-en-vigueur-a-compter-du-1er-janvier-2021 </t>
  </si>
  <si>
    <t>Wage cost calculation for the company</t>
  </si>
  <si>
    <t>https://www.service-public.fr/professionnels-entreprises/vosdroits/services-en-ligne-et-formulaires/simulateur-cout-embauche</t>
  </si>
  <si>
    <t>French labour law impose this minimal rate to earn the min wage</t>
  </si>
  <si>
    <t>Total of week per year without, holiday, bank  holiday…</t>
  </si>
  <si>
    <t>It is a prototyping company, soit does not run nonstop. 
6%: maintenance and cleaning of shop floor</t>
  </si>
  <si>
    <t xml:space="preserve">People cannot be working nonstop. </t>
  </si>
  <si>
    <t xml:space="preserve">VAT </t>
  </si>
  <si>
    <t>Euro to Dollar Rate</t>
  </si>
  <si>
    <t>Administrative Workforce</t>
  </si>
  <si>
    <t>Operative Workforce</t>
  </si>
  <si>
    <t>French VAT</t>
  </si>
  <si>
    <t>The 13/05/2021 rate</t>
  </si>
  <si>
    <t>Welder Wages in France</t>
  </si>
  <si>
    <t>https://www.reconversionprofessionnelle.org/salaire-soudeur/</t>
  </si>
  <si>
    <t>Power of Machinery</t>
  </si>
  <si>
    <t>Machine 1</t>
  </si>
  <si>
    <t>Name of Machine</t>
  </si>
  <si>
    <t>Source / reference</t>
  </si>
  <si>
    <t>Power</t>
  </si>
  <si>
    <t>Documentation Sources</t>
  </si>
  <si>
    <t>Manpower Cost</t>
  </si>
  <si>
    <t>Maintenance costs</t>
  </si>
  <si>
    <t>Staffing</t>
  </si>
  <si>
    <t>-</t>
  </si>
  <si>
    <t>Yearly wage cost for the company (total)</t>
  </si>
  <si>
    <t>Welder</t>
  </si>
  <si>
    <t>Sales/Administratives</t>
  </si>
  <si>
    <t xml:space="preserve">Grades in automobile sector </t>
  </si>
  <si>
    <t>https://www.services-automobile.fr/sites/default/files/2018-04/Convention%20collective%20-%20Chapitre%20III.pdf</t>
  </si>
  <si>
    <t>Engineer - Grade II</t>
  </si>
  <si>
    <t>https://www.services-automobile.fr/sites/default/files/2018-04/Convention%20collective%20-%20Chapitre%20V.pdf</t>
  </si>
  <si>
    <t>https://www.services-automobile.fr/sites/default/files/2020-11/1.4%20-%20Chap.III%20bis%20-%20V29_0.pdf</t>
  </si>
  <si>
    <t>Technician - Grade 23</t>
  </si>
  <si>
    <t>Month wage (gross)</t>
  </si>
  <si>
    <t>Payed holliday (5 W) and payed leave (2,5 D)</t>
  </si>
  <si>
    <t>Laser Cutting 
(Operator needed for 0.5*time running )</t>
  </si>
  <si>
    <t>Operator - Grade 9
Welder</t>
  </si>
  <si>
    <t>Operator - Grade 4 
(Laser cutting, bending and painting)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</si>
</sst>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Corbel"/>
      <family val="2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u/>
      <sz val="11"/>
      <color theme="10"/>
      <name val="Corbel"/>
      <family val="2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7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166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9" fontId="0" fillId="13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1" borderId="11" xfId="0" applyFont="1" applyFill="1" applyBorder="1" applyAlignment="1">
      <alignment horizontal="center" vertical="center"/>
    </xf>
    <xf numFmtId="166" fontId="0" fillId="0" borderId="12" xfId="0" applyNumberFormat="1" applyBorder="1"/>
    <xf numFmtId="0" fontId="0" fillId="0" borderId="14" xfId="0" applyBorder="1"/>
    <xf numFmtId="0" fontId="0" fillId="0" borderId="17" xfId="0" applyBorder="1"/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2" fillId="0" borderId="33" xfId="0" applyFont="1" applyBorder="1" applyAlignment="1">
      <alignment horizontal="center" vertical="center"/>
    </xf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2" fillId="0" borderId="42" xfId="0" applyFont="1" applyBorder="1" applyAlignment="1">
      <alignment horizontal="left" wrapText="1"/>
    </xf>
    <xf numFmtId="0" fontId="2" fillId="0" borderId="43" xfId="0" applyFont="1" applyBorder="1" applyAlignment="1">
      <alignment horizontal="left" wrapText="1"/>
    </xf>
    <xf numFmtId="0" fontId="0" fillId="0" borderId="37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2" fillId="0" borderId="36" xfId="0" applyFont="1" applyBorder="1" applyAlignment="1">
      <alignment wrapText="1"/>
    </xf>
    <xf numFmtId="44" fontId="0" fillId="0" borderId="17" xfId="1" applyFont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35" xfId="0" applyFont="1" applyBorder="1" applyAlignment="1">
      <alignment vertical="center" wrapText="1"/>
    </xf>
    <xf numFmtId="0" fontId="2" fillId="0" borderId="35" xfId="0" applyFont="1" applyBorder="1" applyAlignment="1">
      <alignment horizontal="left" wrapText="1"/>
    </xf>
    <xf numFmtId="0" fontId="2" fillId="0" borderId="36" xfId="0" applyFont="1" applyBorder="1" applyAlignment="1">
      <alignment horizontal="left" wrapText="1"/>
    </xf>
    <xf numFmtId="0" fontId="0" fillId="0" borderId="18" xfId="0" applyBorder="1" applyAlignment="1">
      <alignment wrapText="1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39" xfId="0" applyFont="1" applyBorder="1" applyAlignment="1">
      <alignment wrapText="1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44" fontId="0" fillId="0" borderId="14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8" fontId="0" fillId="0" borderId="14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8" fontId="0" fillId="0" borderId="15" xfId="0" applyNumberFormat="1" applyBorder="1" applyAlignment="1">
      <alignment vertical="center"/>
    </xf>
    <xf numFmtId="44" fontId="0" fillId="0" borderId="15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44" fontId="0" fillId="0" borderId="12" xfId="0" applyNumberFormat="1" applyBorder="1" applyAlignment="1">
      <alignment vertical="center"/>
    </xf>
    <xf numFmtId="0" fontId="0" fillId="0" borderId="22" xfId="0" applyBorder="1" applyAlignment="1">
      <alignment vertical="center"/>
    </xf>
    <xf numFmtId="8" fontId="0" fillId="0" borderId="12" xfId="0" applyNumberFormat="1" applyBorder="1" applyAlignment="1">
      <alignment vertical="center"/>
    </xf>
    <xf numFmtId="0" fontId="0" fillId="0" borderId="12" xfId="0" applyNumberFormat="1" applyBorder="1" applyAlignment="1">
      <alignment vertical="center"/>
    </xf>
    <xf numFmtId="8" fontId="0" fillId="0" borderId="16" xfId="0" applyNumberFormat="1" applyBorder="1" applyAlignment="1">
      <alignment vertical="center"/>
    </xf>
    <xf numFmtId="44" fontId="0" fillId="0" borderId="16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44" fontId="0" fillId="0" borderId="17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166" fontId="0" fillId="0" borderId="12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1" fontId="0" fillId="0" borderId="12" xfId="0" applyNumberFormat="1" applyBorder="1" applyAlignment="1">
      <alignment vertical="center"/>
    </xf>
    <xf numFmtId="1" fontId="0" fillId="0" borderId="16" xfId="0" applyNumberFormat="1" applyBorder="1" applyAlignment="1">
      <alignment vertical="center"/>
    </xf>
    <xf numFmtId="44" fontId="0" fillId="0" borderId="12" xfId="1" applyFont="1" applyBorder="1" applyAlignment="1">
      <alignment vertical="center"/>
    </xf>
    <xf numFmtId="9" fontId="0" fillId="0" borderId="12" xfId="3" applyFont="1" applyBorder="1" applyAlignment="1">
      <alignment vertical="center"/>
    </xf>
    <xf numFmtId="9" fontId="0" fillId="0" borderId="16" xfId="3" applyFont="1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7" xfId="0" applyNumberFormat="1" applyBorder="1" applyAlignment="1">
      <alignment vertical="center"/>
    </xf>
    <xf numFmtId="8" fontId="0" fillId="0" borderId="18" xfId="0" applyNumberFormat="1" applyBorder="1" applyAlignment="1">
      <alignment vertical="center"/>
    </xf>
    <xf numFmtId="9" fontId="0" fillId="0" borderId="17" xfId="3" applyFont="1" applyBorder="1" applyAlignment="1">
      <alignment vertical="center"/>
    </xf>
    <xf numFmtId="9" fontId="0" fillId="0" borderId="18" xfId="3" applyFont="1" applyBorder="1" applyAlignment="1">
      <alignment vertical="center" wrapText="1"/>
    </xf>
    <xf numFmtId="0" fontId="0" fillId="0" borderId="19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2" xfId="0" applyFill="1" applyBorder="1" applyAlignment="1">
      <alignment vertical="center" wrapText="1"/>
    </xf>
    <xf numFmtId="44" fontId="0" fillId="0" borderId="14" xfId="1" applyFont="1" applyBorder="1" applyAlignment="1">
      <alignment vertical="center"/>
    </xf>
    <xf numFmtId="0" fontId="0" fillId="0" borderId="16" xfId="0" applyNumberFormat="1" applyBorder="1" applyAlignment="1">
      <alignment vertical="center"/>
    </xf>
    <xf numFmtId="0" fontId="0" fillId="0" borderId="22" xfId="0" applyFill="1" applyBorder="1" applyAlignment="1">
      <alignment vertical="center"/>
    </xf>
    <xf numFmtId="9" fontId="0" fillId="0" borderId="18" xfId="3" applyFont="1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52" xfId="0" applyBorder="1" applyAlignment="1">
      <alignment vertical="center"/>
    </xf>
    <xf numFmtId="44" fontId="0" fillId="0" borderId="29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8" fontId="0" fillId="0" borderId="30" xfId="0" applyNumberFormat="1" applyBorder="1" applyAlignment="1">
      <alignment vertical="center"/>
    </xf>
    <xf numFmtId="44" fontId="0" fillId="0" borderId="14" xfId="1" applyFont="1" applyFill="1" applyBorder="1" applyAlignment="1">
      <alignment vertical="center"/>
    </xf>
    <xf numFmtId="0" fontId="0" fillId="0" borderId="19" xfId="0" applyBorder="1" applyAlignment="1">
      <alignment vertical="center" wrapText="1"/>
    </xf>
    <xf numFmtId="0" fontId="3" fillId="8" borderId="10" xfId="0" applyFont="1" applyFill="1" applyBorder="1" applyAlignment="1">
      <alignment vertical="center"/>
    </xf>
    <xf numFmtId="0" fontId="3" fillId="8" borderId="11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0" xfId="0" applyFill="1" applyAlignment="1">
      <alignment vertical="center"/>
    </xf>
    <xf numFmtId="8" fontId="0" fillId="0" borderId="0" xfId="0" applyNumberFormat="1" applyAlignment="1">
      <alignment vertical="center"/>
    </xf>
    <xf numFmtId="44" fontId="0" fillId="0" borderId="17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0" borderId="0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8" borderId="1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0" xfId="3" applyFont="1" applyAlignment="1">
      <alignment vertical="center"/>
    </xf>
    <xf numFmtId="44" fontId="0" fillId="0" borderId="0" xfId="0" applyNumberFormat="1" applyAlignment="1">
      <alignment vertical="center"/>
    </xf>
    <xf numFmtId="0" fontId="0" fillId="8" borderId="5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44" fontId="0" fillId="0" borderId="32" xfId="0" applyNumberFormat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9" fillId="0" borderId="0" xfId="0" applyFont="1" applyAlignment="1"/>
    <xf numFmtId="0" fontId="9" fillId="0" borderId="0" xfId="0" applyFont="1"/>
    <xf numFmtId="0" fontId="10" fillId="15" borderId="40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/>
    </xf>
    <xf numFmtId="44" fontId="9" fillId="0" borderId="31" xfId="1" applyFont="1" applyBorder="1"/>
    <xf numFmtId="0" fontId="9" fillId="0" borderId="31" xfId="0" applyFont="1" applyBorder="1"/>
    <xf numFmtId="44" fontId="9" fillId="0" borderId="31" xfId="0" applyNumberFormat="1" applyFont="1" applyBorder="1"/>
    <xf numFmtId="44" fontId="9" fillId="0" borderId="32" xfId="0" applyNumberFormat="1" applyFont="1" applyBorder="1"/>
    <xf numFmtId="0" fontId="10" fillId="0" borderId="38" xfId="0" applyFont="1" applyBorder="1" applyAlignment="1">
      <alignment horizontal="center" vertical="center"/>
    </xf>
    <xf numFmtId="44" fontId="10" fillId="0" borderId="39" xfId="1" applyFont="1" applyBorder="1"/>
    <xf numFmtId="44" fontId="9" fillId="0" borderId="0" xfId="0" applyNumberFormat="1" applyFont="1"/>
    <xf numFmtId="0" fontId="9" fillId="0" borderId="32" xfId="0" applyFont="1" applyBorder="1"/>
    <xf numFmtId="0" fontId="9" fillId="0" borderId="16" xfId="0" applyFont="1" applyBorder="1"/>
    <xf numFmtId="1" fontId="9" fillId="0" borderId="16" xfId="0" applyNumberFormat="1" applyFont="1" applyBorder="1"/>
    <xf numFmtId="0" fontId="10" fillId="15" borderId="49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16" borderId="0" xfId="0" applyFont="1" applyFill="1" applyAlignment="1"/>
    <xf numFmtId="0" fontId="10" fillId="17" borderId="40" xfId="0" applyFont="1" applyFill="1" applyBorder="1"/>
    <xf numFmtId="0" fontId="9" fillId="17" borderId="31" xfId="0" applyFont="1" applyFill="1" applyBorder="1"/>
    <xf numFmtId="44" fontId="9" fillId="17" borderId="32" xfId="0" applyNumberFormat="1" applyFont="1" applyFill="1" applyBorder="1"/>
    <xf numFmtId="0" fontId="9" fillId="17" borderId="12" xfId="0" applyFont="1" applyFill="1" applyBorder="1"/>
    <xf numFmtId="0" fontId="9" fillId="17" borderId="29" xfId="0" applyFont="1" applyFill="1" applyBorder="1"/>
    <xf numFmtId="44" fontId="9" fillId="17" borderId="17" xfId="1" applyFont="1" applyFill="1" applyBorder="1"/>
    <xf numFmtId="1" fontId="9" fillId="0" borderId="31" xfId="1" applyNumberFormat="1" applyFont="1" applyBorder="1"/>
    <xf numFmtId="44" fontId="9" fillId="18" borderId="17" xfId="1" applyFont="1" applyFill="1" applyBorder="1" applyAlignment="1">
      <alignment horizontal="center"/>
    </xf>
    <xf numFmtId="0" fontId="10" fillId="15" borderId="38" xfId="0" applyFont="1" applyFill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34" xfId="0" applyFont="1" applyBorder="1" applyAlignment="1">
      <alignment horizontal="left"/>
    </xf>
    <xf numFmtId="0" fontId="10" fillId="0" borderId="35" xfId="0" applyFont="1" applyBorder="1" applyAlignment="1">
      <alignment horizontal="left"/>
    </xf>
    <xf numFmtId="0" fontId="10" fillId="0" borderId="53" xfId="0" applyFont="1" applyBorder="1" applyAlignment="1">
      <alignment horizontal="left"/>
    </xf>
    <xf numFmtId="0" fontId="10" fillId="0" borderId="36" xfId="0" applyFont="1" applyBorder="1" applyAlignment="1">
      <alignment horizontal="left"/>
    </xf>
    <xf numFmtId="0" fontId="10" fillId="0" borderId="37" xfId="0" applyFont="1" applyBorder="1" applyAlignment="1">
      <alignment horizontal="left"/>
    </xf>
    <xf numFmtId="0" fontId="10" fillId="17" borderId="36" xfId="0" applyFont="1" applyFill="1" applyBorder="1" applyAlignment="1">
      <alignment horizontal="left"/>
    </xf>
    <xf numFmtId="0" fontId="10" fillId="15" borderId="38" xfId="0" applyFont="1" applyFill="1" applyBorder="1" applyAlignment="1">
      <alignment horizontal="left"/>
    </xf>
    <xf numFmtId="0" fontId="10" fillId="0" borderId="59" xfId="0" applyFont="1" applyBorder="1" applyAlignment="1">
      <alignment horizontal="left"/>
    </xf>
    <xf numFmtId="0" fontId="9" fillId="17" borderId="28" xfId="0" applyFont="1" applyFill="1" applyBorder="1"/>
    <xf numFmtId="0" fontId="10" fillId="17" borderId="41" xfId="0" applyFont="1" applyFill="1" applyBorder="1" applyAlignment="1">
      <alignment horizontal="left"/>
    </xf>
    <xf numFmtId="0" fontId="9" fillId="17" borderId="44" xfId="0" applyFont="1" applyFill="1" applyBorder="1"/>
    <xf numFmtId="0" fontId="9" fillId="17" borderId="48" xfId="0" applyFont="1" applyFill="1" applyBorder="1"/>
    <xf numFmtId="0" fontId="10" fillId="17" borderId="45" xfId="0" applyFont="1" applyFill="1" applyBorder="1"/>
    <xf numFmtId="0" fontId="10" fillId="17" borderId="42" xfId="0" applyFont="1" applyFill="1" applyBorder="1" applyAlignment="1">
      <alignment horizontal="left"/>
    </xf>
    <xf numFmtId="0" fontId="9" fillId="17" borderId="22" xfId="0" applyFont="1" applyFill="1" applyBorder="1"/>
    <xf numFmtId="0" fontId="9" fillId="17" borderId="46" xfId="0" applyFont="1" applyFill="1" applyBorder="1"/>
    <xf numFmtId="0" fontId="10" fillId="17" borderId="42" xfId="0" applyFont="1" applyFill="1" applyBorder="1"/>
    <xf numFmtId="0" fontId="10" fillId="17" borderId="43" xfId="0" applyFont="1" applyFill="1" applyBorder="1" applyAlignment="1">
      <alignment horizontal="left"/>
    </xf>
    <xf numFmtId="0" fontId="9" fillId="17" borderId="21" xfId="0" applyFont="1" applyFill="1" applyBorder="1"/>
    <xf numFmtId="0" fontId="9" fillId="17" borderId="17" xfId="0" applyFont="1" applyFill="1" applyBorder="1"/>
    <xf numFmtId="0" fontId="9" fillId="17" borderId="47" xfId="0" applyFont="1" applyFill="1" applyBorder="1"/>
    <xf numFmtId="0" fontId="9" fillId="17" borderId="43" xfId="0" applyFont="1" applyFill="1" applyBorder="1"/>
    <xf numFmtId="0" fontId="9" fillId="17" borderId="18" xfId="0" applyFont="1" applyFill="1" applyBorder="1"/>
    <xf numFmtId="0" fontId="8" fillId="0" borderId="60" xfId="0" applyFont="1" applyBorder="1" applyAlignment="1">
      <alignment horizontal="justify" vertical="center"/>
    </xf>
    <xf numFmtId="44" fontId="0" fillId="0" borderId="26" xfId="0" applyNumberFormat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38" xfId="0" applyBorder="1" applyAlignment="1">
      <alignment vertical="center"/>
    </xf>
    <xf numFmtId="44" fontId="9" fillId="18" borderId="31" xfId="1" applyFont="1" applyFill="1" applyBorder="1"/>
    <xf numFmtId="44" fontId="9" fillId="0" borderId="31" xfId="0" applyNumberFormat="1" applyFont="1" applyFill="1" applyBorder="1"/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4" xfId="0" applyFont="1" applyFill="1" applyBorder="1" applyAlignment="1">
      <alignment horizontal="center" vertical="center" wrapText="1"/>
    </xf>
    <xf numFmtId="0" fontId="2" fillId="12" borderId="25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4" borderId="9" xfId="0" applyFont="1" applyFill="1" applyBorder="1" applyAlignment="1">
      <alignment horizontal="center"/>
    </xf>
    <xf numFmtId="0" fontId="5" fillId="0" borderId="46" xfId="2" applyBorder="1" applyAlignment="1">
      <alignment horizontal="center" wrapText="1"/>
    </xf>
    <xf numFmtId="0" fontId="11" fillId="0" borderId="54" xfId="2" applyFont="1" applyBorder="1" applyAlignment="1">
      <alignment horizontal="center"/>
    </xf>
    <xf numFmtId="0" fontId="11" fillId="0" borderId="55" xfId="2" applyFont="1" applyBorder="1" applyAlignment="1">
      <alignment horizontal="center"/>
    </xf>
    <xf numFmtId="0" fontId="11" fillId="0" borderId="54" xfId="2" applyFont="1" applyBorder="1" applyAlignment="1">
      <alignment horizontal="center" wrapText="1"/>
    </xf>
    <xf numFmtId="0" fontId="11" fillId="0" borderId="55" xfId="2" applyFont="1" applyBorder="1" applyAlignment="1">
      <alignment horizontal="center" wrapText="1"/>
    </xf>
    <xf numFmtId="0" fontId="10" fillId="0" borderId="53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5" fillId="0" borderId="54" xfId="2" applyBorder="1" applyAlignment="1">
      <alignment horizontal="center" wrapText="1"/>
    </xf>
    <xf numFmtId="0" fontId="5" fillId="0" borderId="55" xfId="2" applyBorder="1" applyAlignment="1">
      <alignment horizontal="center" wrapText="1"/>
    </xf>
    <xf numFmtId="0" fontId="10" fillId="14" borderId="7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5" borderId="49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11" fillId="0" borderId="57" xfId="2" applyFont="1" applyBorder="1" applyAlignment="1">
      <alignment horizontal="center"/>
    </xf>
    <xf numFmtId="0" fontId="11" fillId="0" borderId="13" xfId="2" applyFont="1" applyBorder="1" applyAlignment="1">
      <alignment horizontal="center"/>
    </xf>
    <xf numFmtId="0" fontId="11" fillId="0" borderId="56" xfId="2" applyFont="1" applyBorder="1" applyAlignment="1">
      <alignment horizontal="center"/>
    </xf>
    <xf numFmtId="0" fontId="11" fillId="0" borderId="46" xfId="2" applyFont="1" applyBorder="1" applyAlignment="1">
      <alignment horizontal="center"/>
    </xf>
    <xf numFmtId="0" fontId="11" fillId="0" borderId="47" xfId="2" applyFont="1" applyBorder="1" applyAlignment="1">
      <alignment horizontal="center"/>
    </xf>
    <xf numFmtId="0" fontId="11" fillId="0" borderId="20" xfId="2" applyFont="1" applyBorder="1" applyAlignment="1">
      <alignment horizontal="center"/>
    </xf>
    <xf numFmtId="0" fontId="11" fillId="0" borderId="58" xfId="2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2" fillId="0" borderId="40" xfId="0" applyFont="1" applyBorder="1" applyAlignment="1">
      <alignment horizontal="center" vertical="center" wrapText="1"/>
    </xf>
    <xf numFmtId="0" fontId="5" fillId="0" borderId="31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5" fillId="0" borderId="12" xfId="2" applyBorder="1" applyAlignment="1">
      <alignment horizontal="center" wrapText="1"/>
    </xf>
    <xf numFmtId="0" fontId="2" fillId="0" borderId="38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0" fillId="0" borderId="2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5" fillId="0" borderId="44" xfId="2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0" fillId="15" borderId="3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left" wrapText="1"/>
    </xf>
    <xf numFmtId="0" fontId="10" fillId="15" borderId="40" xfId="0" applyFont="1" applyFill="1" applyBorder="1" applyAlignment="1">
      <alignment horizontal="center" vertical="center" wrapText="1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travail-emploi.gouv.fr/droit-du-travail/la-remuneration/article/le-smic-montants-en-vigueur-a-compter-du-1er-janvier-2021" TargetMode="External"/><Relationship Id="rId7" Type="http://schemas.openxmlformats.org/officeDocument/2006/relationships/hyperlink" Target="https://www.services-automobile.fr/sites/default/files/2020-11/1.4%20-%20Chap.III%20bis%20-%20V29_0.pdf" TargetMode="External"/><Relationship Id="rId2" Type="http://schemas.openxmlformats.org/officeDocument/2006/relationships/hyperlink" Target="https://www.service-public.fr/professionnels-entreprises/vosdroits/services-en-ligne-et-formulaires/simulateur-cout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6" Type="http://schemas.openxmlformats.org/officeDocument/2006/relationships/hyperlink" Target="https://www.services-automobile.fr/sites/default/files/2018-04/Convention%20collective%20-%20Chapitre%20V.pdf" TargetMode="External"/><Relationship Id="rId5" Type="http://schemas.openxmlformats.org/officeDocument/2006/relationships/hyperlink" Target="https://www.services-automobile.fr/sites/default/files/2018-04/Convention%20collective%20-%20Chapitre%20III.pdf" TargetMode="External"/><Relationship Id="rId4" Type="http://schemas.openxmlformats.org/officeDocument/2006/relationships/hyperlink" Target="https://www.juristique.org/social/duree-du-travai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kelwatt.fr/guide/prix-electricite-entreprise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2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7" Type="http://schemas.openxmlformats.org/officeDocument/2006/relationships/hyperlink" Target="https://www.orexad.com/fr/colonne-de-mesure-817clm-cap-600-770-pupitre-2d/p-G1197000019" TargetMode="External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projecteur-de-profil-pj-h30/p-G1213001821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31/Base%20pneumatique/index.xhtml" TargetMode="External"/><Relationship Id="rId11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10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5.077/Paire%20de%20v%C3%A9s/$catalogue/mitutoyoData/PR/911-111/index.xhtml" TargetMode="External"/><Relationship Id="rId14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ancebureau.com/media/catalogue-mobilier/bureau-modulaire-kibo.pdf" TargetMode="External"/><Relationship Id="rId7" Type="http://schemas.openxmlformats.org/officeDocument/2006/relationships/hyperlink" Target="https://www.francebureau.com/alto-16.html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table-reunion-modulable-arc-reunion.pdf" TargetMode="External"/><Relationship Id="rId5" Type="http://schemas.openxmlformats.org/officeDocument/2006/relationships/hyperlink" Target="https://www.francebureau.com/media/catalogue-mobilier/bureau-direction-etretat.pdf" TargetMode="External"/><Relationship Id="rId4" Type="http://schemas.openxmlformats.org/officeDocument/2006/relationships/hyperlink" Target="https://www.francebureau.com/media/catalogue-mobilier/bureau-modulaire-kibo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"/>
  <sheetViews>
    <sheetView showGridLines="0" zoomScale="99" zoomScaleNormal="59" workbookViewId="0">
      <selection activeCell="E25" sqref="E25"/>
    </sheetView>
  </sheetViews>
  <sheetFormatPr baseColWidth="10" defaultRowHeight="15" x14ac:dyDescent="0.25"/>
  <cols>
    <col min="1" max="1" width="3.140625" style="160" customWidth="1"/>
    <col min="2" max="2" width="14.28515625" style="160" bestFit="1" customWidth="1"/>
    <col min="3" max="3" width="22.140625" style="160" bestFit="1" customWidth="1"/>
    <col min="4" max="4" width="13" style="160" bestFit="1" customWidth="1"/>
    <col min="5" max="5" width="60.140625" style="160" bestFit="1" customWidth="1"/>
    <col min="6" max="6" width="4.85546875" style="160" customWidth="1"/>
    <col min="7" max="7" width="14.85546875" style="160" bestFit="1" customWidth="1"/>
    <col min="8" max="8" width="77.85546875" style="160" bestFit="1" customWidth="1"/>
    <col min="9" max="9" width="12" style="160" bestFit="1" customWidth="1"/>
    <col min="10" max="10" width="23.28515625" style="160" bestFit="1" customWidth="1"/>
    <col min="11" max="11" width="9.7109375" style="160" bestFit="1" customWidth="1"/>
    <col min="12" max="12" width="4.5703125" style="160" customWidth="1"/>
    <col min="13" max="13" width="63.7109375" style="160" bestFit="1" customWidth="1"/>
    <col min="14" max="14" width="8.7109375" style="160" bestFit="1" customWidth="1"/>
    <col min="15" max="15" width="30" style="160" bestFit="1" customWidth="1"/>
    <col min="16" max="16" width="8.5703125" style="160" bestFit="1" customWidth="1"/>
    <col min="17" max="17" width="21.42578125" style="160" bestFit="1" customWidth="1"/>
    <col min="18" max="18" width="13" style="160" bestFit="1" customWidth="1"/>
    <col min="19" max="19" width="23.28515625" style="160" bestFit="1" customWidth="1"/>
    <col min="20" max="20" width="12" style="160" bestFit="1" customWidth="1"/>
    <col min="21" max="21" width="4.7109375" style="160" customWidth="1"/>
    <col min="22" max="22" width="29.42578125" style="160" bestFit="1" customWidth="1"/>
    <col min="23" max="23" width="14.5703125" style="160" bestFit="1" customWidth="1"/>
    <col min="24" max="24" width="11.42578125" style="160"/>
    <col min="25" max="25" width="4.85546875" style="160" customWidth="1"/>
    <col min="26" max="16384" width="11.42578125" style="160"/>
  </cols>
  <sheetData>
    <row r="1" spans="1:20" ht="15.75" thickBot="1" x14ac:dyDescent="0.3"/>
    <row r="2" spans="1:20" ht="15.75" thickBot="1" x14ac:dyDescent="0.3">
      <c r="A2" s="283"/>
      <c r="B2" s="296" t="s">
        <v>41</v>
      </c>
      <c r="C2" s="297"/>
      <c r="D2" s="297"/>
      <c r="E2" s="298"/>
      <c r="G2" s="308" t="s">
        <v>14</v>
      </c>
      <c r="H2" s="309"/>
      <c r="I2" s="309"/>
      <c r="J2" s="309"/>
      <c r="K2" s="310"/>
      <c r="M2" s="311" t="s">
        <v>203</v>
      </c>
      <c r="N2" s="312"/>
      <c r="O2" s="312"/>
      <c r="P2" s="312"/>
      <c r="Q2" s="312"/>
      <c r="R2" s="312"/>
      <c r="S2" s="312"/>
      <c r="T2" s="313"/>
    </row>
    <row r="3" spans="1:20" ht="15.75" customHeight="1" thickBot="1" x14ac:dyDescent="0.3">
      <c r="A3" s="283"/>
      <c r="B3" s="141" t="s">
        <v>28</v>
      </c>
      <c r="C3" s="141" t="s">
        <v>16</v>
      </c>
      <c r="D3" s="141" t="s">
        <v>42</v>
      </c>
      <c r="E3" s="25" t="s">
        <v>221</v>
      </c>
      <c r="G3" s="40" t="s">
        <v>28</v>
      </c>
      <c r="H3" s="41" t="s">
        <v>25</v>
      </c>
      <c r="I3" s="41" t="s">
        <v>17</v>
      </c>
      <c r="J3" s="42" t="s">
        <v>364</v>
      </c>
      <c r="K3" s="43" t="s">
        <v>201</v>
      </c>
      <c r="M3" s="59" t="s">
        <v>15</v>
      </c>
      <c r="N3" s="60"/>
      <c r="O3" s="60" t="s">
        <v>16</v>
      </c>
      <c r="P3" s="60" t="s">
        <v>206</v>
      </c>
      <c r="Q3" s="60" t="s">
        <v>211</v>
      </c>
      <c r="R3" s="60" t="s">
        <v>17</v>
      </c>
      <c r="S3" s="61" t="s">
        <v>364</v>
      </c>
      <c r="T3" s="62" t="s">
        <v>201</v>
      </c>
    </row>
    <row r="4" spans="1:20" ht="30.75" thickBot="1" x14ac:dyDescent="0.3">
      <c r="A4" s="283"/>
      <c r="B4" s="142" t="s">
        <v>547</v>
      </c>
      <c r="C4" s="284" t="s">
        <v>565</v>
      </c>
      <c r="D4" s="162">
        <f>'Manpower &amp; time'!E17</f>
        <v>151244.41558441558</v>
      </c>
      <c r="E4" s="282" t="s">
        <v>494</v>
      </c>
      <c r="G4" s="47" t="s">
        <v>29</v>
      </c>
      <c r="H4" s="163" t="s">
        <v>193</v>
      </c>
      <c r="I4" s="164" t="e">
        <f>SUM(Metrology!E14:E17)</f>
        <v>#REF!</v>
      </c>
      <c r="J4" s="165">
        <v>10</v>
      </c>
      <c r="K4" s="166" t="e">
        <f>I4/J4</f>
        <v>#REF!</v>
      </c>
      <c r="M4" s="314" t="s">
        <v>462</v>
      </c>
      <c r="N4" s="333"/>
      <c r="O4" s="163" t="s">
        <v>202</v>
      </c>
      <c r="P4" s="161" t="s">
        <v>207</v>
      </c>
      <c r="Q4" s="161"/>
      <c r="R4" s="162">
        <f>'CNC mill'!B22</f>
        <v>108020</v>
      </c>
      <c r="S4" s="161">
        <v>10</v>
      </c>
      <c r="T4" s="167">
        <f>R4/S4</f>
        <v>10802</v>
      </c>
    </row>
    <row r="5" spans="1:20" ht="30" customHeight="1" x14ac:dyDescent="0.25">
      <c r="A5" s="283"/>
      <c r="B5" s="299" t="s">
        <v>548</v>
      </c>
      <c r="C5" s="281" t="s">
        <v>564</v>
      </c>
      <c r="D5" s="162" t="e">
        <f>'Manpower &amp; time'!#REF!/'Manpower &amp; time'!#REF!</f>
        <v>#REF!</v>
      </c>
      <c r="E5" s="305" t="s">
        <v>494</v>
      </c>
      <c r="G5" s="48"/>
      <c r="H5" s="170" t="s">
        <v>192</v>
      </c>
      <c r="I5" s="171" t="e">
        <f>SUM(Metrology!E18:E19)</f>
        <v>#REF!</v>
      </c>
      <c r="J5" s="172">
        <v>10</v>
      </c>
      <c r="K5" s="173" t="e">
        <f t="shared" ref="K5:K44" si="0">I5/J5</f>
        <v>#REF!</v>
      </c>
      <c r="M5" s="139" t="s">
        <v>251</v>
      </c>
      <c r="N5" s="65">
        <v>22.4</v>
      </c>
      <c r="O5" s="170" t="s">
        <v>204</v>
      </c>
      <c r="P5" s="168" t="s">
        <v>207</v>
      </c>
      <c r="Q5" s="168"/>
      <c r="R5" s="169">
        <f>'CNC mill'!B23*'CNC mill'!C23</f>
        <v>4000</v>
      </c>
      <c r="S5" s="168">
        <v>5</v>
      </c>
      <c r="T5" s="174">
        <f t="shared" ref="T5:T7" si="1">R5/S5</f>
        <v>800</v>
      </c>
    </row>
    <row r="6" spans="1:20" x14ac:dyDescent="0.25">
      <c r="A6" s="283"/>
      <c r="B6" s="300"/>
      <c r="C6" s="170" t="s">
        <v>26</v>
      </c>
      <c r="D6" s="169">
        <f>'Manpower &amp; time'!E16/'Manpower &amp; time'!C16</f>
        <v>43935</v>
      </c>
      <c r="E6" s="306"/>
      <c r="G6" s="48"/>
      <c r="H6" s="170" t="s">
        <v>191</v>
      </c>
      <c r="I6" s="171" t="e">
        <f>SUM(Metrology!E2:E8)+Metrology!E2+Metrology!E4+Metrology!E3+Metrology!E7+Metrology!E8</f>
        <v>#REF!</v>
      </c>
      <c r="J6" s="172">
        <v>10</v>
      </c>
      <c r="K6" s="173" t="e">
        <f t="shared" si="0"/>
        <v>#REF!</v>
      </c>
      <c r="M6" s="139" t="s">
        <v>219</v>
      </c>
      <c r="N6" s="66" t="e">
        <f>#REF!</f>
        <v>#REF!</v>
      </c>
      <c r="O6" s="170" t="s">
        <v>205</v>
      </c>
      <c r="P6" s="168" t="s">
        <v>207</v>
      </c>
      <c r="Q6" s="168"/>
      <c r="R6" s="169">
        <f>'CNC mill'!B24</f>
        <v>2500</v>
      </c>
      <c r="S6" s="168">
        <v>5</v>
      </c>
      <c r="T6" s="174">
        <f t="shared" si="1"/>
        <v>500</v>
      </c>
    </row>
    <row r="7" spans="1:20" x14ac:dyDescent="0.25">
      <c r="A7" s="283"/>
      <c r="B7" s="300"/>
      <c r="C7" s="170" t="s">
        <v>43</v>
      </c>
      <c r="D7" s="169">
        <f>'Manpower &amp; time'!E17/'Manpower &amp; time'!C17</f>
        <v>50414.805194805194</v>
      </c>
      <c r="E7" s="306"/>
      <c r="G7" s="48"/>
      <c r="H7" s="170" t="s">
        <v>32</v>
      </c>
      <c r="I7" s="169">
        <f>Metrology!E23</f>
        <v>48334.81</v>
      </c>
      <c r="J7" s="172">
        <v>10</v>
      </c>
      <c r="K7" s="173">
        <f t="shared" si="0"/>
        <v>4833.4809999999998</v>
      </c>
      <c r="M7" s="139" t="s">
        <v>220</v>
      </c>
      <c r="N7" s="65">
        <v>5</v>
      </c>
      <c r="O7" s="170" t="s">
        <v>22</v>
      </c>
      <c r="P7" s="168" t="s">
        <v>207</v>
      </c>
      <c r="Q7" s="168" t="s">
        <v>212</v>
      </c>
      <c r="R7" s="169">
        <f>0.05*R4</f>
        <v>5401</v>
      </c>
      <c r="S7" s="168">
        <v>1</v>
      </c>
      <c r="T7" s="174">
        <f t="shared" si="1"/>
        <v>5401</v>
      </c>
    </row>
    <row r="8" spans="1:20" ht="15.75" thickBot="1" x14ac:dyDescent="0.3">
      <c r="A8" s="283"/>
      <c r="B8" s="301"/>
      <c r="C8" s="170" t="s">
        <v>44</v>
      </c>
      <c r="D8" s="169">
        <f>'Manpower &amp; time'!E18/'Manpower &amp; time'!C18</f>
        <v>59295.584415584402</v>
      </c>
      <c r="E8" s="307"/>
      <c r="G8" s="48"/>
      <c r="H8" s="170" t="s">
        <v>194</v>
      </c>
      <c r="I8" s="171" t="e">
        <f>SUM(Metrology!E10:E12)</f>
        <v>#REF!</v>
      </c>
      <c r="J8" s="172">
        <v>10</v>
      </c>
      <c r="K8" s="173" t="e">
        <f t="shared" si="0"/>
        <v>#REF!</v>
      </c>
      <c r="M8" s="139" t="s">
        <v>463</v>
      </c>
      <c r="N8" s="67">
        <f>1/10000</f>
        <v>1E-4</v>
      </c>
      <c r="O8" s="170" t="s">
        <v>19</v>
      </c>
      <c r="P8" s="168" t="s">
        <v>208</v>
      </c>
      <c r="Q8" s="168" t="s">
        <v>252</v>
      </c>
      <c r="R8" s="178" t="e">
        <f>N5*0.8*#REF!</f>
        <v>#REF!</v>
      </c>
      <c r="S8" s="168"/>
      <c r="T8" s="179"/>
    </row>
    <row r="9" spans="1:20" x14ac:dyDescent="0.25">
      <c r="A9" s="283"/>
      <c r="B9" s="302" t="s">
        <v>45</v>
      </c>
      <c r="C9" s="163" t="s">
        <v>46</v>
      </c>
      <c r="D9" s="161">
        <v>35</v>
      </c>
      <c r="E9" s="177" t="s">
        <v>541</v>
      </c>
      <c r="G9" s="48"/>
      <c r="H9" s="170" t="s">
        <v>195</v>
      </c>
      <c r="I9" s="171" t="e">
        <f>2*Metrology!E21</f>
        <v>#REF!</v>
      </c>
      <c r="J9" s="172">
        <v>10</v>
      </c>
      <c r="K9" s="173" t="e">
        <f t="shared" si="0"/>
        <v>#REF!</v>
      </c>
      <c r="M9" s="139" t="s">
        <v>501</v>
      </c>
      <c r="N9" s="67">
        <f>N8*0.5</f>
        <v>5.0000000000000002E-5</v>
      </c>
      <c r="O9" s="170" t="s">
        <v>210</v>
      </c>
      <c r="P9" s="168" t="s">
        <v>208</v>
      </c>
      <c r="Q9" s="168" t="s">
        <v>257</v>
      </c>
      <c r="R9" s="182">
        <v>20</v>
      </c>
      <c r="S9" s="168"/>
      <c r="T9" s="179"/>
    </row>
    <row r="10" spans="1:20" ht="15.75" thickBot="1" x14ac:dyDescent="0.3">
      <c r="A10" s="283"/>
      <c r="B10" s="303"/>
      <c r="C10" s="170" t="s">
        <v>47</v>
      </c>
      <c r="D10" s="180">
        <f>'Manpower &amp; time'!C28</f>
        <v>225.5</v>
      </c>
      <c r="E10" s="181" t="s">
        <v>542</v>
      </c>
      <c r="G10" s="49"/>
      <c r="H10" s="185" t="s">
        <v>473</v>
      </c>
      <c r="I10" s="176">
        <f>Metrology!E25</f>
        <v>5390</v>
      </c>
      <c r="J10" s="186">
        <v>10</v>
      </c>
      <c r="K10" s="187">
        <f t="shared" si="0"/>
        <v>539</v>
      </c>
      <c r="M10" s="139" t="s">
        <v>366</v>
      </c>
      <c r="N10" s="67">
        <f>N8*0.4</f>
        <v>4.0000000000000003E-5</v>
      </c>
      <c r="O10" s="170" t="s">
        <v>209</v>
      </c>
      <c r="P10" s="168" t="s">
        <v>208</v>
      </c>
      <c r="Q10" s="168" t="s">
        <v>295</v>
      </c>
      <c r="R10" s="169">
        <f>1*'CNC mill'!F31</f>
        <v>88.025599999999997</v>
      </c>
      <c r="S10" s="168">
        <v>1</v>
      </c>
      <c r="T10" s="174">
        <f t="shared" ref="T10" si="2">R10/S10</f>
        <v>88.025599999999997</v>
      </c>
    </row>
    <row r="11" spans="1:20" ht="30.75" thickBot="1" x14ac:dyDescent="0.3">
      <c r="A11" s="283"/>
      <c r="B11" s="303"/>
      <c r="C11" s="170" t="s">
        <v>48</v>
      </c>
      <c r="D11" s="183">
        <v>0.8</v>
      </c>
      <c r="E11" s="184" t="s">
        <v>543</v>
      </c>
      <c r="G11" s="50" t="s">
        <v>33</v>
      </c>
      <c r="H11" s="190" t="s">
        <v>253</v>
      </c>
      <c r="I11" s="162">
        <f>Energies!B7</f>
        <v>2874.8160000000003</v>
      </c>
      <c r="J11" s="161">
        <v>1</v>
      </c>
      <c r="K11" s="166">
        <f t="shared" si="0"/>
        <v>2874.8160000000003</v>
      </c>
      <c r="M11" s="80" t="s">
        <v>237</v>
      </c>
      <c r="N11" s="81">
        <v>20</v>
      </c>
      <c r="O11" s="185"/>
      <c r="P11" s="175"/>
      <c r="Q11" s="175"/>
      <c r="R11" s="175"/>
      <c r="S11" s="175"/>
      <c r="T11" s="191"/>
    </row>
    <row r="12" spans="1:20" ht="15.75" thickBot="1" x14ac:dyDescent="0.3">
      <c r="A12" s="283"/>
      <c r="B12" s="304"/>
      <c r="C12" s="185" t="s">
        <v>238</v>
      </c>
      <c r="D12" s="188">
        <v>0.95</v>
      </c>
      <c r="E12" s="189" t="s">
        <v>544</v>
      </c>
      <c r="G12" s="51"/>
      <c r="H12" s="192" t="s">
        <v>254</v>
      </c>
      <c r="I12" s="182" t="e">
        <f>16*#REF!*#REF!*#REF!</f>
        <v>#REF!</v>
      </c>
      <c r="J12" s="168">
        <v>1</v>
      </c>
      <c r="K12" s="173" t="e">
        <f t="shared" si="0"/>
        <v>#REF!</v>
      </c>
      <c r="M12" s="292" t="s">
        <v>18</v>
      </c>
      <c r="N12" s="293"/>
      <c r="O12" s="163" t="s">
        <v>307</v>
      </c>
      <c r="P12" s="161" t="s">
        <v>207</v>
      </c>
      <c r="Q12" s="161"/>
      <c r="R12" s="193">
        <f>'CNC lathe'!B2</f>
        <v>133720</v>
      </c>
      <c r="S12" s="161">
        <v>10</v>
      </c>
      <c r="T12" s="167">
        <f>R12/S12</f>
        <v>13372</v>
      </c>
    </row>
    <row r="13" spans="1:20" ht="15.75" thickBot="1" x14ac:dyDescent="0.3">
      <c r="A13" s="283"/>
      <c r="B13" s="299" t="s">
        <v>297</v>
      </c>
      <c r="C13" s="163" t="s">
        <v>148</v>
      </c>
      <c r="D13" s="162">
        <f>Energies!B7</f>
        <v>2874.8160000000003</v>
      </c>
      <c r="E13" s="167"/>
      <c r="G13" s="51"/>
      <c r="H13" s="195" t="s">
        <v>396</v>
      </c>
      <c r="I13" s="182">
        <f>Energies!C12*60</f>
        <v>132.96</v>
      </c>
      <c r="J13" s="168">
        <v>1</v>
      </c>
      <c r="K13" s="173">
        <f t="shared" si="0"/>
        <v>132.96</v>
      </c>
      <c r="M13" s="137" t="s">
        <v>251</v>
      </c>
      <c r="N13" s="70">
        <v>29.8</v>
      </c>
      <c r="O13" s="170" t="s">
        <v>296</v>
      </c>
      <c r="P13" s="168" t="s">
        <v>207</v>
      </c>
      <c r="Q13" s="168"/>
      <c r="R13" s="169">
        <f>12*'CNC lathe'!B6+6*'CNC lathe'!B7</f>
        <v>19200</v>
      </c>
      <c r="S13" s="168">
        <v>10</v>
      </c>
      <c r="T13" s="174">
        <f>R13/S13</f>
        <v>1920</v>
      </c>
    </row>
    <row r="14" spans="1:20" x14ac:dyDescent="0.25">
      <c r="A14" s="283"/>
      <c r="B14" s="300"/>
      <c r="C14" s="170" t="s">
        <v>149</v>
      </c>
      <c r="D14" s="178">
        <f>Energies!B8</f>
        <v>7.8299999999999995E-2</v>
      </c>
      <c r="E14" s="194"/>
      <c r="G14" s="53" t="s">
        <v>249</v>
      </c>
      <c r="H14" s="163" t="s">
        <v>137</v>
      </c>
      <c r="I14" s="162" t="e">
        <f>#REF!</f>
        <v>#REF!</v>
      </c>
      <c r="J14" s="165">
        <v>1</v>
      </c>
      <c r="K14" s="166" t="e">
        <f t="shared" si="0"/>
        <v>#REF!</v>
      </c>
      <c r="M14" s="137" t="s">
        <v>219</v>
      </c>
      <c r="N14" s="71" t="e">
        <f>#REF!</f>
        <v>#REF!</v>
      </c>
      <c r="O14" s="170" t="s">
        <v>309</v>
      </c>
      <c r="P14" s="168" t="s">
        <v>207</v>
      </c>
      <c r="Q14" s="168"/>
      <c r="R14" s="169">
        <f>'CNC lathe'!B8*30</f>
        <v>4800</v>
      </c>
      <c r="S14" s="168">
        <v>5</v>
      </c>
      <c r="T14" s="174">
        <f t="shared" ref="T14:T15" si="3">R14/S14</f>
        <v>960</v>
      </c>
    </row>
    <row r="15" spans="1:20" ht="18" thickBot="1" x14ac:dyDescent="0.3">
      <c r="A15" s="283"/>
      <c r="B15" s="301"/>
      <c r="C15" s="185" t="s">
        <v>496</v>
      </c>
      <c r="D15" s="176">
        <f>Energies!C12</f>
        <v>2.2160000000000002</v>
      </c>
      <c r="E15" s="191"/>
      <c r="G15" s="54"/>
      <c r="H15" s="170" t="s">
        <v>244</v>
      </c>
      <c r="I15" s="169" t="e">
        <f>#REF!*0.4</f>
        <v>#REF!</v>
      </c>
      <c r="J15" s="172">
        <v>1</v>
      </c>
      <c r="K15" s="173" t="e">
        <f t="shared" si="0"/>
        <v>#REF!</v>
      </c>
      <c r="M15" s="137" t="s">
        <v>220</v>
      </c>
      <c r="N15" s="70">
        <v>5</v>
      </c>
      <c r="O15" s="170" t="s">
        <v>22</v>
      </c>
      <c r="P15" s="168" t="s">
        <v>207</v>
      </c>
      <c r="Q15" s="168" t="s">
        <v>212</v>
      </c>
      <c r="R15" s="182">
        <f>0.05*R12</f>
        <v>6686</v>
      </c>
      <c r="S15" s="168">
        <v>1</v>
      </c>
      <c r="T15" s="174">
        <f t="shared" si="3"/>
        <v>6686</v>
      </c>
    </row>
    <row r="16" spans="1:20" x14ac:dyDescent="0.25">
      <c r="A16" s="283"/>
      <c r="B16" s="299" t="s">
        <v>298</v>
      </c>
      <c r="C16" s="163" t="s">
        <v>546</v>
      </c>
      <c r="D16" s="165">
        <v>1.2076</v>
      </c>
      <c r="E16" s="177" t="s">
        <v>550</v>
      </c>
      <c r="G16" s="54"/>
      <c r="H16" s="170" t="s">
        <v>474</v>
      </c>
      <c r="I16" s="169">
        <f>'Manpower &amp; time'!G20</f>
        <v>17643.938961038977</v>
      </c>
      <c r="J16" s="172">
        <v>1</v>
      </c>
      <c r="K16" s="173">
        <f t="shared" si="0"/>
        <v>17643.938961038977</v>
      </c>
      <c r="M16" s="137" t="s">
        <v>463</v>
      </c>
      <c r="N16" s="72">
        <f>1/10000</f>
        <v>1E-4</v>
      </c>
      <c r="O16" s="170" t="s">
        <v>19</v>
      </c>
      <c r="P16" s="168" t="s">
        <v>208</v>
      </c>
      <c r="Q16" s="168" t="s">
        <v>252</v>
      </c>
      <c r="R16" s="178" t="e">
        <f>N13*0.8*#REF!</f>
        <v>#REF!</v>
      </c>
      <c r="S16" s="168"/>
      <c r="T16" s="179"/>
    </row>
    <row r="17" spans="1:20" ht="15.75" thickBot="1" x14ac:dyDescent="0.3">
      <c r="A17" s="283"/>
      <c r="B17" s="301"/>
      <c r="C17" s="185" t="s">
        <v>545</v>
      </c>
      <c r="D17" s="188">
        <v>0.2</v>
      </c>
      <c r="E17" s="196" t="s">
        <v>549</v>
      </c>
      <c r="G17" s="55"/>
      <c r="H17" s="185" t="s">
        <v>250</v>
      </c>
      <c r="I17" s="176" t="e">
        <f>'Manpower &amp; time'!C43</f>
        <v>#REF!</v>
      </c>
      <c r="J17" s="186">
        <v>1</v>
      </c>
      <c r="K17" s="187" t="e">
        <f t="shared" si="0"/>
        <v>#REF!</v>
      </c>
      <c r="M17" s="137" t="s">
        <v>500</v>
      </c>
      <c r="N17" s="72">
        <f>N16*0.5</f>
        <v>5.0000000000000002E-5</v>
      </c>
      <c r="O17" s="170" t="s">
        <v>210</v>
      </c>
      <c r="P17" s="168" t="s">
        <v>208</v>
      </c>
      <c r="Q17" s="168" t="s">
        <v>252</v>
      </c>
      <c r="R17" s="182">
        <v>10</v>
      </c>
      <c r="S17" s="168"/>
      <c r="T17" s="179"/>
    </row>
    <row r="18" spans="1:20" x14ac:dyDescent="0.25">
      <c r="G18" s="56" t="s">
        <v>34</v>
      </c>
      <c r="H18" s="163" t="s">
        <v>35</v>
      </c>
      <c r="I18" s="162" t="e">
        <f>IT!E12+2*IT!E13+IT!E14+6*IT!E16+IT!E17+4*IT!E18+IT!E19</f>
        <v>#REF!</v>
      </c>
      <c r="J18" s="165">
        <v>3</v>
      </c>
      <c r="K18" s="166" t="e">
        <f t="shared" si="0"/>
        <v>#REF!</v>
      </c>
      <c r="M18" s="137" t="s">
        <v>366</v>
      </c>
      <c r="N18" s="72">
        <f>N16*0.4</f>
        <v>4.0000000000000003E-5</v>
      </c>
      <c r="O18" s="170" t="s">
        <v>209</v>
      </c>
      <c r="P18" s="168" t="s">
        <v>208</v>
      </c>
      <c r="Q18" s="168" t="s">
        <v>295</v>
      </c>
      <c r="R18" s="169">
        <f>'CNC lathe'!F14</f>
        <v>88.025599999999997</v>
      </c>
      <c r="S18" s="168">
        <v>1</v>
      </c>
      <c r="T18" s="174">
        <f>R18/S18</f>
        <v>88.025599999999997</v>
      </c>
    </row>
    <row r="19" spans="1:20" ht="15.75" thickBot="1" x14ac:dyDescent="0.3">
      <c r="G19" s="57"/>
      <c r="H19" s="170" t="s">
        <v>200</v>
      </c>
      <c r="I19" s="169" t="e">
        <f>IT!E6</f>
        <v>#REF!</v>
      </c>
      <c r="J19" s="172">
        <v>3</v>
      </c>
      <c r="K19" s="173" t="e">
        <f t="shared" si="0"/>
        <v>#REF!</v>
      </c>
      <c r="M19" s="132" t="s">
        <v>237</v>
      </c>
      <c r="N19" s="79">
        <v>15</v>
      </c>
      <c r="O19" s="185"/>
      <c r="P19" s="175"/>
      <c r="Q19" s="175"/>
      <c r="R19" s="175"/>
      <c r="S19" s="175"/>
      <c r="T19" s="191"/>
    </row>
    <row r="20" spans="1:20" ht="30" x14ac:dyDescent="0.25">
      <c r="G20" s="57"/>
      <c r="H20" s="197" t="s">
        <v>497</v>
      </c>
      <c r="I20" s="169" t="e">
        <f>2*IT!E7+IT!E8+2*IT!E9+IT!E10</f>
        <v>#REF!</v>
      </c>
      <c r="J20" s="172">
        <v>1</v>
      </c>
      <c r="K20" s="173" t="e">
        <f t="shared" si="0"/>
        <v>#REF!</v>
      </c>
      <c r="M20" s="334" t="s">
        <v>20</v>
      </c>
      <c r="N20" s="335"/>
      <c r="O20" s="163" t="s">
        <v>21</v>
      </c>
      <c r="P20" s="161" t="s">
        <v>207</v>
      </c>
      <c r="Q20" s="161"/>
      <c r="R20" s="162" t="e">
        <f>'Laser cutter'!G4</f>
        <v>#REF!</v>
      </c>
      <c r="S20" s="161">
        <v>10</v>
      </c>
      <c r="T20" s="167" t="e">
        <f>R20/S20</f>
        <v>#REF!</v>
      </c>
    </row>
    <row r="21" spans="1:20" x14ac:dyDescent="0.25">
      <c r="G21" s="57"/>
      <c r="H21" s="170" t="s">
        <v>177</v>
      </c>
      <c r="I21" s="169">
        <f>IT!E4*12*3</f>
        <v>316.8</v>
      </c>
      <c r="J21" s="172">
        <v>1</v>
      </c>
      <c r="K21" s="173">
        <f t="shared" si="0"/>
        <v>316.8</v>
      </c>
      <c r="M21" s="135" t="s">
        <v>251</v>
      </c>
      <c r="N21" s="73">
        <v>7.5</v>
      </c>
      <c r="O21" s="170" t="s">
        <v>22</v>
      </c>
      <c r="P21" s="168" t="s">
        <v>207</v>
      </c>
      <c r="Q21" s="168" t="s">
        <v>212</v>
      </c>
      <c r="R21" s="169" t="e">
        <f>0.05*R20</f>
        <v>#REF!</v>
      </c>
      <c r="S21" s="168">
        <v>1</v>
      </c>
      <c r="T21" s="174" t="e">
        <f>R21/S21</f>
        <v>#REF!</v>
      </c>
    </row>
    <row r="22" spans="1:20" x14ac:dyDescent="0.25">
      <c r="G22" s="57"/>
      <c r="H22" s="170"/>
      <c r="I22" s="169"/>
      <c r="J22" s="172"/>
      <c r="K22" s="173"/>
      <c r="M22" s="135"/>
      <c r="N22" s="73"/>
      <c r="O22" s="170"/>
      <c r="P22" s="168"/>
      <c r="Q22" s="168"/>
      <c r="R22" s="169"/>
      <c r="S22" s="168"/>
      <c r="T22" s="174"/>
    </row>
    <row r="23" spans="1:20" x14ac:dyDescent="0.25">
      <c r="G23" s="57"/>
      <c r="H23" s="170" t="s">
        <v>178</v>
      </c>
      <c r="I23" s="169" t="e">
        <f>IT!E3*2</f>
        <v>#REF!</v>
      </c>
      <c r="J23" s="172">
        <v>1</v>
      </c>
      <c r="K23" s="173" t="e">
        <f t="shared" si="0"/>
        <v>#REF!</v>
      </c>
      <c r="M23" s="135" t="s">
        <v>219</v>
      </c>
      <c r="N23" s="74">
        <v>0.7</v>
      </c>
      <c r="O23" s="170" t="s">
        <v>23</v>
      </c>
      <c r="P23" s="168" t="s">
        <v>208</v>
      </c>
      <c r="Q23" s="168" t="s">
        <v>252</v>
      </c>
      <c r="R23" s="178" t="e">
        <f>N21*0.8*#REF!</f>
        <v>#REF!</v>
      </c>
      <c r="S23" s="168"/>
      <c r="T23" s="179"/>
    </row>
    <row r="24" spans="1:20" x14ac:dyDescent="0.25">
      <c r="G24" s="57"/>
      <c r="H24" s="170"/>
      <c r="I24" s="169"/>
      <c r="J24" s="172"/>
      <c r="K24" s="173"/>
      <c r="M24" s="135"/>
      <c r="N24" s="74"/>
      <c r="O24" s="170"/>
      <c r="P24" s="168"/>
      <c r="Q24" s="168"/>
      <c r="R24" s="178"/>
      <c r="S24" s="168"/>
      <c r="T24" s="179"/>
    </row>
    <row r="25" spans="1:20" x14ac:dyDescent="0.25">
      <c r="G25" s="57"/>
      <c r="H25" s="170"/>
      <c r="I25" s="169"/>
      <c r="J25" s="172"/>
      <c r="K25" s="173"/>
      <c r="M25" s="135"/>
      <c r="N25" s="74"/>
      <c r="O25" s="170"/>
      <c r="P25" s="168"/>
      <c r="Q25" s="168"/>
      <c r="R25" s="178"/>
      <c r="S25" s="168"/>
      <c r="T25" s="179"/>
    </row>
    <row r="26" spans="1:20" x14ac:dyDescent="0.25">
      <c r="G26" s="57"/>
      <c r="H26" s="170"/>
      <c r="I26" s="169"/>
      <c r="J26" s="172"/>
      <c r="K26" s="173"/>
      <c r="M26" s="135"/>
      <c r="N26" s="74"/>
      <c r="O26" s="170"/>
      <c r="P26" s="168"/>
      <c r="Q26" s="168"/>
      <c r="R26" s="178"/>
      <c r="S26" s="168"/>
      <c r="T26" s="179"/>
    </row>
    <row r="27" spans="1:20" x14ac:dyDescent="0.25">
      <c r="G27" s="57"/>
      <c r="H27" s="170" t="s">
        <v>36</v>
      </c>
      <c r="I27" s="169">
        <f>12*IT!E21</f>
        <v>1224</v>
      </c>
      <c r="J27" s="172">
        <v>1</v>
      </c>
      <c r="K27" s="173">
        <f t="shared" si="0"/>
        <v>1224</v>
      </c>
      <c r="M27" s="135" t="s">
        <v>220</v>
      </c>
      <c r="N27" s="73">
        <v>5</v>
      </c>
      <c r="O27" s="170" t="s">
        <v>392</v>
      </c>
      <c r="P27" s="168" t="s">
        <v>208</v>
      </c>
      <c r="Q27" s="168" t="s">
        <v>252</v>
      </c>
      <c r="R27" s="169" t="e">
        <f>'Laser cutter'!G5/20</f>
        <v>#REF!</v>
      </c>
      <c r="S27" s="168"/>
      <c r="T27" s="179"/>
    </row>
    <row r="28" spans="1:20" x14ac:dyDescent="0.25">
      <c r="G28" s="57"/>
      <c r="H28" s="198"/>
      <c r="I28" s="199"/>
      <c r="J28" s="200"/>
      <c r="K28" s="201"/>
      <c r="M28" s="135"/>
      <c r="N28" s="73"/>
      <c r="O28" s="170"/>
      <c r="P28" s="168"/>
      <c r="Q28" s="168"/>
      <c r="R28" s="169"/>
      <c r="S28" s="168"/>
      <c r="T28" s="179"/>
    </row>
    <row r="29" spans="1:20" x14ac:dyDescent="0.25">
      <c r="G29" s="57"/>
      <c r="H29" s="198"/>
      <c r="I29" s="199"/>
      <c r="J29" s="200"/>
      <c r="K29" s="201"/>
      <c r="M29" s="135"/>
      <c r="N29" s="73"/>
      <c r="O29" s="170"/>
      <c r="P29" s="168"/>
      <c r="Q29" s="168"/>
      <c r="R29" s="169"/>
      <c r="S29" s="168"/>
      <c r="T29" s="179"/>
    </row>
    <row r="30" spans="1:20" x14ac:dyDescent="0.25">
      <c r="G30" s="57"/>
      <c r="H30" s="198"/>
      <c r="I30" s="199"/>
      <c r="J30" s="200"/>
      <c r="K30" s="201"/>
      <c r="M30" s="135"/>
      <c r="N30" s="73"/>
      <c r="O30" s="170"/>
      <c r="P30" s="168"/>
      <c r="Q30" s="168"/>
      <c r="R30" s="169"/>
      <c r="S30" s="168"/>
      <c r="T30" s="179"/>
    </row>
    <row r="31" spans="1:20" x14ac:dyDescent="0.25">
      <c r="G31" s="57"/>
      <c r="H31" s="198"/>
      <c r="I31" s="199"/>
      <c r="J31" s="200"/>
      <c r="K31" s="201"/>
      <c r="M31" s="135"/>
      <c r="N31" s="73"/>
      <c r="O31" s="170"/>
      <c r="P31" s="168"/>
      <c r="Q31" s="168"/>
      <c r="R31" s="169"/>
      <c r="S31" s="168"/>
      <c r="T31" s="179"/>
    </row>
    <row r="32" spans="1:20" ht="15.75" thickBot="1" x14ac:dyDescent="0.3">
      <c r="G32" s="58"/>
      <c r="H32" s="185" t="s">
        <v>365</v>
      </c>
      <c r="I32" s="176">
        <f>IT!E24+IT!E23</f>
        <v>381</v>
      </c>
      <c r="J32" s="186">
        <v>3</v>
      </c>
      <c r="K32" s="187">
        <f t="shared" si="0"/>
        <v>127</v>
      </c>
      <c r="M32" s="135" t="s">
        <v>464</v>
      </c>
      <c r="N32" s="75">
        <v>4.6000000000000001E-4</v>
      </c>
      <c r="O32" s="63"/>
      <c r="P32" s="133"/>
      <c r="Q32" s="133"/>
      <c r="R32" s="133"/>
      <c r="S32" s="133"/>
      <c r="T32" s="83"/>
    </row>
    <row r="33" spans="3:20" x14ac:dyDescent="0.25">
      <c r="G33" s="47" t="s">
        <v>359</v>
      </c>
      <c r="H33" s="163" t="s">
        <v>37</v>
      </c>
      <c r="I33" s="202">
        <v>200</v>
      </c>
      <c r="J33" s="165">
        <v>1</v>
      </c>
      <c r="K33" s="166">
        <f t="shared" si="0"/>
        <v>200</v>
      </c>
      <c r="M33" s="135" t="s">
        <v>487</v>
      </c>
      <c r="N33" s="76">
        <v>1.5</v>
      </c>
      <c r="O33" s="63"/>
      <c r="P33" s="36"/>
      <c r="Q33" s="133"/>
      <c r="R33" s="36"/>
      <c r="S33" s="133"/>
      <c r="T33" s="84"/>
    </row>
    <row r="34" spans="3:20" ht="15.75" thickBot="1" x14ac:dyDescent="0.3">
      <c r="G34" s="49"/>
      <c r="H34" s="185" t="s">
        <v>299</v>
      </c>
      <c r="I34" s="176">
        <f>Office!D2*2+Office!D3*2+Office!D4*2+Office!D5*2+Office!D6+Office!D7+Office!D8*10</f>
        <v>10550</v>
      </c>
      <c r="J34" s="175">
        <v>10</v>
      </c>
      <c r="K34" s="187">
        <f>I34/J34</f>
        <v>1055</v>
      </c>
      <c r="M34" s="135" t="s">
        <v>488</v>
      </c>
      <c r="N34" s="76">
        <v>1</v>
      </c>
      <c r="O34" s="64"/>
      <c r="P34" s="37"/>
      <c r="Q34" s="37"/>
      <c r="R34" s="37"/>
      <c r="S34" s="37"/>
      <c r="T34" s="85"/>
    </row>
    <row r="35" spans="3:20" ht="15.75" thickBot="1" x14ac:dyDescent="0.3">
      <c r="G35" s="50" t="s">
        <v>39</v>
      </c>
      <c r="H35" s="203" t="s">
        <v>379</v>
      </c>
      <c r="I35" s="162" t="e">
        <f>SUM(Manufacturing!G3:G8)+Manufacturing!G9*4</f>
        <v>#REF!</v>
      </c>
      <c r="J35" s="161">
        <v>10</v>
      </c>
      <c r="K35" s="166" t="e">
        <f t="shared" si="0"/>
        <v>#REF!</v>
      </c>
      <c r="M35" s="86" t="s">
        <v>333</v>
      </c>
      <c r="N35" s="87">
        <v>8</v>
      </c>
      <c r="O35" s="185"/>
      <c r="P35" s="175"/>
      <c r="Q35" s="175"/>
      <c r="R35" s="175"/>
      <c r="S35" s="175"/>
      <c r="T35" s="191"/>
    </row>
    <row r="36" spans="3:20" x14ac:dyDescent="0.25">
      <c r="G36" s="51"/>
      <c r="H36" s="170" t="s">
        <v>367</v>
      </c>
      <c r="I36" s="169">
        <f>Manufacturing!G26</f>
        <v>3259</v>
      </c>
      <c r="J36" s="168">
        <v>10</v>
      </c>
      <c r="K36" s="173">
        <f t="shared" si="0"/>
        <v>325.89999999999998</v>
      </c>
      <c r="M36" s="134" t="s">
        <v>24</v>
      </c>
      <c r="N36" s="136"/>
      <c r="O36" s="163" t="s">
        <v>231</v>
      </c>
      <c r="P36" s="161" t="s">
        <v>207</v>
      </c>
      <c r="Q36" s="161"/>
      <c r="R36" s="162">
        <f>Welding!F2+Welding!F3</f>
        <v>5308.6</v>
      </c>
      <c r="S36" s="161">
        <v>10</v>
      </c>
      <c r="T36" s="167">
        <f>R36/S36</f>
        <v>530.86</v>
      </c>
    </row>
    <row r="37" spans="3:20" x14ac:dyDescent="0.25">
      <c r="G37" s="51"/>
      <c r="H37" s="170" t="s">
        <v>470</v>
      </c>
      <c r="I37" s="169">
        <f>Manufacturing!G27</f>
        <v>1031.54</v>
      </c>
      <c r="J37" s="168">
        <v>10</v>
      </c>
      <c r="K37" s="173">
        <f t="shared" si="0"/>
        <v>103.154</v>
      </c>
      <c r="M37" s="139"/>
      <c r="N37" s="65"/>
      <c r="O37" s="170" t="s">
        <v>38</v>
      </c>
      <c r="P37" s="168" t="s">
        <v>207</v>
      </c>
      <c r="Q37" s="168"/>
      <c r="R37" s="169">
        <f>Welding!F4</f>
        <v>3859.6</v>
      </c>
      <c r="S37" s="168">
        <v>10</v>
      </c>
      <c r="T37" s="174">
        <f t="shared" ref="T37:T41" si="4">R37/S37</f>
        <v>385.96</v>
      </c>
    </row>
    <row r="38" spans="3:20" x14ac:dyDescent="0.25">
      <c r="G38" s="51"/>
      <c r="H38" s="170" t="s">
        <v>288</v>
      </c>
      <c r="I38" s="169" t="e">
        <f>Manufacturing!G11*3+Manufacturing!G12*3</f>
        <v>#REF!</v>
      </c>
      <c r="J38" s="168">
        <v>10</v>
      </c>
      <c r="K38" s="173" t="e">
        <f t="shared" si="0"/>
        <v>#REF!</v>
      </c>
      <c r="M38" s="139" t="s">
        <v>219</v>
      </c>
      <c r="N38" s="66" t="e">
        <f>#REF!</f>
        <v>#REF!</v>
      </c>
      <c r="O38" s="170" t="s">
        <v>236</v>
      </c>
      <c r="P38" s="168" t="s">
        <v>207</v>
      </c>
      <c r="Q38" s="168"/>
      <c r="R38" s="169">
        <f>Welding!F6</f>
        <v>146</v>
      </c>
      <c r="S38" s="168">
        <v>5</v>
      </c>
      <c r="T38" s="174">
        <f t="shared" si="4"/>
        <v>29.2</v>
      </c>
    </row>
    <row r="39" spans="3:20" x14ac:dyDescent="0.25">
      <c r="G39" s="51"/>
      <c r="H39" s="197" t="s">
        <v>342</v>
      </c>
      <c r="I39" s="169" t="e">
        <f>0.5*I38</f>
        <v>#REF!</v>
      </c>
      <c r="J39" s="168">
        <v>10</v>
      </c>
      <c r="K39" s="173" t="e">
        <f t="shared" si="0"/>
        <v>#REF!</v>
      </c>
      <c r="M39" s="139" t="s">
        <v>440</v>
      </c>
      <c r="N39" s="77">
        <f>Welding!B32</f>
        <v>140.43083213990764</v>
      </c>
      <c r="O39" s="170" t="s">
        <v>27</v>
      </c>
      <c r="P39" s="168" t="s">
        <v>207</v>
      </c>
      <c r="Q39" s="168"/>
      <c r="R39" s="169">
        <f>Welding!F6+Welding!F7</f>
        <v>196</v>
      </c>
      <c r="S39" s="168">
        <v>2</v>
      </c>
      <c r="T39" s="174">
        <f t="shared" si="4"/>
        <v>98</v>
      </c>
    </row>
    <row r="40" spans="3:20" x14ac:dyDescent="0.25">
      <c r="G40" s="51"/>
      <c r="H40" s="170" t="s">
        <v>343</v>
      </c>
      <c r="I40" s="169">
        <v>4000</v>
      </c>
      <c r="J40" s="168">
        <v>5</v>
      </c>
      <c r="K40" s="173">
        <f t="shared" si="0"/>
        <v>800</v>
      </c>
      <c r="M40" s="139"/>
      <c r="N40" s="65"/>
      <c r="O40" s="170" t="s">
        <v>223</v>
      </c>
      <c r="P40" s="168" t="s">
        <v>207</v>
      </c>
      <c r="Q40" s="168"/>
      <c r="R40" s="169">
        <f>Welding!F5</f>
        <v>8579</v>
      </c>
      <c r="S40" s="168">
        <v>10</v>
      </c>
      <c r="T40" s="174">
        <f t="shared" si="4"/>
        <v>857.9</v>
      </c>
    </row>
    <row r="41" spans="3:20" x14ac:dyDescent="0.25">
      <c r="G41" s="51"/>
      <c r="H41" s="170" t="s">
        <v>344</v>
      </c>
      <c r="I41" s="169">
        <v>3000</v>
      </c>
      <c r="J41" s="168">
        <v>1</v>
      </c>
      <c r="K41" s="173">
        <f t="shared" si="0"/>
        <v>3000</v>
      </c>
      <c r="M41" s="139"/>
      <c r="N41" s="65"/>
      <c r="O41" s="170" t="s">
        <v>22</v>
      </c>
      <c r="P41" s="168" t="s">
        <v>207</v>
      </c>
      <c r="Q41" s="168" t="s">
        <v>235</v>
      </c>
      <c r="R41" s="169">
        <f>0.03*(R36+R37)</f>
        <v>275.04599999999999</v>
      </c>
      <c r="S41" s="168">
        <v>1</v>
      </c>
      <c r="T41" s="174">
        <f t="shared" si="4"/>
        <v>275.04599999999999</v>
      </c>
    </row>
    <row r="42" spans="3:20" x14ac:dyDescent="0.25">
      <c r="G42" s="51"/>
      <c r="H42" s="170" t="s">
        <v>348</v>
      </c>
      <c r="I42" s="169">
        <f>Manufacturing!G24</f>
        <v>2302.5700000000002</v>
      </c>
      <c r="J42" s="168">
        <v>10</v>
      </c>
      <c r="K42" s="173">
        <f t="shared" si="0"/>
        <v>230.25700000000001</v>
      </c>
      <c r="M42" s="139"/>
      <c r="N42" s="65"/>
      <c r="O42" s="170" t="s">
        <v>19</v>
      </c>
      <c r="P42" s="168" t="s">
        <v>208</v>
      </c>
      <c r="Q42" s="168" t="s">
        <v>495</v>
      </c>
      <c r="R42" s="178" t="e">
        <f>(0.75+0.5)*#REF!</f>
        <v>#REF!</v>
      </c>
      <c r="S42" s="168"/>
      <c r="T42" s="179"/>
    </row>
    <row r="43" spans="3:20" x14ac:dyDescent="0.25">
      <c r="G43" s="51"/>
      <c r="H43" s="170" t="s">
        <v>40</v>
      </c>
      <c r="I43" s="169">
        <f>Manufacturing!G22*6+Manufacturing!G23*3</f>
        <v>7066.95</v>
      </c>
      <c r="J43" s="168">
        <v>10</v>
      </c>
      <c r="K43" s="173">
        <f t="shared" si="0"/>
        <v>706.69499999999994</v>
      </c>
      <c r="M43" s="68"/>
      <c r="N43" s="69"/>
      <c r="O43" s="170" t="s">
        <v>438</v>
      </c>
      <c r="P43" s="294" t="s">
        <v>208</v>
      </c>
      <c r="Q43" s="295" t="s">
        <v>437</v>
      </c>
      <c r="R43" s="169">
        <f>Welding!B29</f>
        <v>8.5247116655159064E-2</v>
      </c>
      <c r="S43" s="168"/>
      <c r="T43" s="179"/>
    </row>
    <row r="44" spans="3:20" x14ac:dyDescent="0.25">
      <c r="G44" s="51"/>
      <c r="H44" s="170" t="s">
        <v>360</v>
      </c>
      <c r="I44" s="169">
        <f>Manufacturing!G16*5+Manufacturing!G17+Manufacturing!G18+Manufacturing!G19+Manufacturing!G20*3+Manufacturing!G21*30</f>
        <v>7110.13</v>
      </c>
      <c r="J44" s="168">
        <v>10</v>
      </c>
      <c r="K44" s="173">
        <f t="shared" si="0"/>
        <v>711.01300000000003</v>
      </c>
      <c r="M44" s="204"/>
      <c r="N44" s="205"/>
      <c r="O44" s="170" t="s">
        <v>439</v>
      </c>
      <c r="P44" s="294"/>
      <c r="Q44" s="295"/>
      <c r="R44" s="169">
        <f>Welding!B23</f>
        <v>5.0185057685504804E-2</v>
      </c>
      <c r="S44" s="168"/>
      <c r="T44" s="179"/>
    </row>
    <row r="45" spans="3:20" ht="15.75" thickBot="1" x14ac:dyDescent="0.3">
      <c r="C45" s="143"/>
      <c r="G45" s="51"/>
      <c r="H45" s="195" t="s">
        <v>340</v>
      </c>
      <c r="I45" s="169">
        <f>Manufacturing!G14</f>
        <v>12999</v>
      </c>
      <c r="J45" s="168">
        <v>10</v>
      </c>
      <c r="K45" s="173">
        <f>I45/J45</f>
        <v>1299.9000000000001</v>
      </c>
      <c r="M45" s="206"/>
      <c r="N45" s="207"/>
      <c r="O45" s="185" t="s">
        <v>224</v>
      </c>
      <c r="P45" s="175" t="s">
        <v>208</v>
      </c>
      <c r="Q45" s="175" t="s">
        <v>437</v>
      </c>
      <c r="R45" s="176">
        <f>Welding!B17</f>
        <v>14.354066985645932</v>
      </c>
      <c r="S45" s="175"/>
      <c r="T45" s="191"/>
    </row>
    <row r="46" spans="3:20" x14ac:dyDescent="0.25">
      <c r="C46" s="143"/>
      <c r="G46" s="51"/>
      <c r="H46" s="195" t="s">
        <v>341</v>
      </c>
      <c r="I46" s="169" t="e">
        <f>15*#REF!*#REF!*#REF!</f>
        <v>#REF!</v>
      </c>
      <c r="J46" s="168">
        <v>1</v>
      </c>
      <c r="K46" s="173" t="e">
        <f>I46/J46</f>
        <v>#REF!</v>
      </c>
      <c r="M46" s="292" t="s">
        <v>380</v>
      </c>
      <c r="N46" s="293"/>
      <c r="O46" s="163" t="s">
        <v>443</v>
      </c>
      <c r="P46" s="161" t="s">
        <v>207</v>
      </c>
      <c r="Q46" s="161"/>
      <c r="R46" s="193">
        <f>'Conventionnal machinning'!B2</f>
        <v>15000</v>
      </c>
      <c r="S46" s="161">
        <v>10</v>
      </c>
      <c r="T46" s="167">
        <f>R46/S46</f>
        <v>1500</v>
      </c>
    </row>
    <row r="47" spans="3:20" ht="15.75" thickBot="1" x14ac:dyDescent="0.3">
      <c r="C47" s="143"/>
      <c r="G47" s="52"/>
      <c r="H47" s="208" t="s">
        <v>472</v>
      </c>
      <c r="I47" s="176">
        <f>2*Manufacturing!G29</f>
        <v>2150</v>
      </c>
      <c r="J47" s="175">
        <v>10</v>
      </c>
      <c r="K47" s="187">
        <f>I47/J47</f>
        <v>215</v>
      </c>
      <c r="M47" s="137" t="s">
        <v>251</v>
      </c>
      <c r="N47" s="70">
        <v>6</v>
      </c>
      <c r="O47" s="170" t="s">
        <v>449</v>
      </c>
      <c r="P47" s="168" t="s">
        <v>207</v>
      </c>
      <c r="Q47" s="168"/>
      <c r="R47" s="169">
        <f>'Conventionnal machinning'!B3</f>
        <v>10000</v>
      </c>
      <c r="S47" s="168">
        <v>10</v>
      </c>
      <c r="T47" s="174">
        <f>R47/S47</f>
        <v>1000</v>
      </c>
    </row>
    <row r="48" spans="3:20" ht="15.75" thickBot="1" x14ac:dyDescent="0.3">
      <c r="C48" s="143"/>
      <c r="G48" s="9"/>
      <c r="H48" s="209"/>
      <c r="K48" s="210"/>
      <c r="M48" s="137" t="s">
        <v>219</v>
      </c>
      <c r="N48" s="71">
        <v>0.44</v>
      </c>
      <c r="O48" s="170" t="s">
        <v>456</v>
      </c>
      <c r="P48" s="168" t="s">
        <v>207</v>
      </c>
      <c r="Q48" s="168"/>
      <c r="R48" s="169">
        <f>(R6+R5+R13+R14)*0.25</f>
        <v>7625</v>
      </c>
      <c r="S48" s="168">
        <v>5</v>
      </c>
      <c r="T48" s="174">
        <f t="shared" ref="T48:T49" si="5">R48/S48</f>
        <v>1525</v>
      </c>
    </row>
    <row r="49" spans="3:20" ht="15.75" thickBot="1" x14ac:dyDescent="0.3">
      <c r="C49" s="143"/>
      <c r="G49" s="308" t="s">
        <v>498</v>
      </c>
      <c r="H49" s="309"/>
      <c r="I49" s="309"/>
      <c r="J49" s="309"/>
      <c r="K49" s="310"/>
      <c r="M49" s="137" t="s">
        <v>220</v>
      </c>
      <c r="N49" s="70">
        <v>5</v>
      </c>
      <c r="O49" s="170" t="s">
        <v>22</v>
      </c>
      <c r="P49" s="168" t="s">
        <v>207</v>
      </c>
      <c r="Q49" s="168" t="s">
        <v>450</v>
      </c>
      <c r="R49" s="182">
        <f>0.03*(R47+R46)</f>
        <v>750</v>
      </c>
      <c r="S49" s="168">
        <v>1</v>
      </c>
      <c r="T49" s="174">
        <f t="shared" si="5"/>
        <v>750</v>
      </c>
    </row>
    <row r="50" spans="3:20" x14ac:dyDescent="0.25">
      <c r="G50" s="322" t="s">
        <v>300</v>
      </c>
      <c r="H50" s="318" t="s">
        <v>458</v>
      </c>
      <c r="I50" s="318"/>
      <c r="J50" s="319"/>
      <c r="K50" s="166" t="e">
        <f>SUM(K4:K47)*1.05</f>
        <v>#REF!</v>
      </c>
      <c r="M50" s="137" t="s">
        <v>465</v>
      </c>
      <c r="N50" s="72">
        <f>3*1/10000</f>
        <v>2.9999999999999997E-4</v>
      </c>
      <c r="O50" s="170" t="s">
        <v>19</v>
      </c>
      <c r="P50" s="168" t="s">
        <v>208</v>
      </c>
      <c r="Q50" s="168" t="s">
        <v>252</v>
      </c>
      <c r="R50" s="178" t="e">
        <f>N47*0.8*#REF!</f>
        <v>#REF!</v>
      </c>
      <c r="S50" s="168"/>
      <c r="T50" s="179"/>
    </row>
    <row r="51" spans="3:20" ht="15.75" thickBot="1" x14ac:dyDescent="0.3">
      <c r="G51" s="323"/>
      <c r="H51" s="316" t="s">
        <v>262</v>
      </c>
      <c r="I51" s="316"/>
      <c r="J51" s="317"/>
      <c r="K51" s="187" t="e">
        <f>K50/SUM('Manpower &amp; time'!C39:J39)</f>
        <v>#REF!</v>
      </c>
      <c r="M51" s="78" t="s">
        <v>237</v>
      </c>
      <c r="N51" s="79">
        <v>10</v>
      </c>
      <c r="O51" s="185" t="s">
        <v>451</v>
      </c>
      <c r="P51" s="175" t="s">
        <v>208</v>
      </c>
      <c r="Q51" s="175" t="s">
        <v>252</v>
      </c>
      <c r="R51" s="211">
        <v>10</v>
      </c>
      <c r="S51" s="175"/>
      <c r="T51" s="191"/>
    </row>
    <row r="52" spans="3:20" ht="15.75" thickBot="1" x14ac:dyDescent="0.3">
      <c r="G52" s="324" t="s">
        <v>301</v>
      </c>
      <c r="H52" s="319" t="s">
        <v>302</v>
      </c>
      <c r="I52" s="320"/>
      <c r="J52" s="320"/>
      <c r="K52" s="212" t="e">
        <f>'Manpower &amp; time'!H16</f>
        <v>#REF!</v>
      </c>
    </row>
    <row r="53" spans="3:20" ht="15.75" thickBot="1" x14ac:dyDescent="0.3">
      <c r="G53" s="325"/>
      <c r="H53" s="321" t="s">
        <v>313</v>
      </c>
      <c r="I53" s="294"/>
      <c r="J53" s="294"/>
      <c r="K53" s="38" t="e">
        <f>'Manpower &amp; time'!H17</f>
        <v>#REF!</v>
      </c>
      <c r="M53" s="327" t="s">
        <v>499</v>
      </c>
      <c r="N53" s="328"/>
      <c r="O53" s="328"/>
      <c r="P53" s="328"/>
      <c r="Q53" s="328"/>
      <c r="R53" s="328"/>
      <c r="S53" s="329"/>
    </row>
    <row r="54" spans="3:20" x14ac:dyDescent="0.25">
      <c r="G54" s="325"/>
      <c r="H54" s="321" t="s">
        <v>453</v>
      </c>
      <c r="I54" s="294"/>
      <c r="J54" s="294"/>
      <c r="K54" s="38" t="e">
        <f>'Manpower &amp; time'!#REF!</f>
        <v>#REF!</v>
      </c>
      <c r="M54" s="314" t="s">
        <v>462</v>
      </c>
      <c r="N54" s="315"/>
      <c r="O54" s="287" t="s">
        <v>271</v>
      </c>
      <c r="P54" s="287"/>
      <c r="Q54" s="287"/>
      <c r="R54" s="287"/>
      <c r="S54" s="29">
        <f>SUM(T4:T7)+T10</f>
        <v>17591.025600000001</v>
      </c>
    </row>
    <row r="55" spans="3:20" ht="15.75" thickBot="1" x14ac:dyDescent="0.3">
      <c r="G55" s="326"/>
      <c r="H55" s="317" t="s">
        <v>303</v>
      </c>
      <c r="I55" s="330"/>
      <c r="J55" s="330"/>
      <c r="K55" s="39" t="e">
        <f>'Manpower &amp; time'!H19</f>
        <v>#REF!</v>
      </c>
      <c r="M55" s="339" t="s">
        <v>466</v>
      </c>
      <c r="N55" s="340"/>
      <c r="O55" s="288" t="s">
        <v>272</v>
      </c>
      <c r="P55" s="288"/>
      <c r="Q55" s="288"/>
      <c r="R55" s="288"/>
      <c r="S55" s="30" t="e">
        <f>S54/(N6*#REF!*#REF!)+K51</f>
        <v>#REF!</v>
      </c>
    </row>
    <row r="56" spans="3:20" x14ac:dyDescent="0.25">
      <c r="K56" s="213"/>
      <c r="M56" s="21" t="s">
        <v>469</v>
      </c>
      <c r="N56" s="22">
        <v>2.5</v>
      </c>
      <c r="O56" s="288" t="s">
        <v>273</v>
      </c>
      <c r="P56" s="288"/>
      <c r="Q56" s="288"/>
      <c r="R56" s="288"/>
      <c r="S56" s="30" t="e">
        <f>S55+R9+R8</f>
        <v>#REF!</v>
      </c>
    </row>
    <row r="57" spans="3:20" x14ac:dyDescent="0.25">
      <c r="K57" s="213"/>
      <c r="M57" s="21" t="s">
        <v>493</v>
      </c>
      <c r="N57" s="22">
        <v>0.5</v>
      </c>
      <c r="O57" s="288"/>
      <c r="P57" s="288"/>
      <c r="Q57" s="288"/>
      <c r="R57" s="288"/>
      <c r="S57" s="31"/>
    </row>
    <row r="58" spans="3:20" x14ac:dyDescent="0.25">
      <c r="J58" s="214"/>
      <c r="K58" s="213"/>
      <c r="M58" s="215"/>
      <c r="N58" s="216"/>
      <c r="O58" s="288" t="s">
        <v>258</v>
      </c>
      <c r="P58" s="288"/>
      <c r="Q58" s="288"/>
      <c r="R58" s="288"/>
      <c r="S58" s="32" t="e">
        <f>('Manpower &amp; time'!H16+S56)*N8/60</f>
        <v>#REF!</v>
      </c>
    </row>
    <row r="59" spans="3:20" x14ac:dyDescent="0.25">
      <c r="J59" s="217"/>
      <c r="K59" s="213"/>
      <c r="M59" s="215"/>
      <c r="N59" s="216"/>
      <c r="O59" s="288" t="s">
        <v>457</v>
      </c>
      <c r="P59" s="288"/>
      <c r="Q59" s="288"/>
      <c r="R59" s="288"/>
      <c r="S59" s="33" t="e">
        <f>('Manpower &amp; time'!H16)*N8/60/S58</f>
        <v>#REF!</v>
      </c>
    </row>
    <row r="60" spans="3:20" x14ac:dyDescent="0.25">
      <c r="J60" s="218"/>
      <c r="K60" s="213"/>
      <c r="M60" s="215"/>
      <c r="N60" s="216"/>
      <c r="O60" s="288"/>
      <c r="P60" s="288"/>
      <c r="Q60" s="288"/>
      <c r="R60" s="288"/>
      <c r="S60" s="32"/>
    </row>
    <row r="61" spans="3:20" x14ac:dyDescent="0.25">
      <c r="M61" s="215"/>
      <c r="N61" s="216"/>
      <c r="O61" s="288" t="s">
        <v>261</v>
      </c>
      <c r="P61" s="288"/>
      <c r="Q61" s="288"/>
      <c r="R61" s="288"/>
      <c r="S61" s="32" t="e">
        <f>('Manpower &amp; time'!H16+K51)*N9/60</f>
        <v>#REF!</v>
      </c>
    </row>
    <row r="62" spans="3:20" x14ac:dyDescent="0.25">
      <c r="K62" s="219"/>
      <c r="M62" s="215"/>
      <c r="N62" s="216"/>
      <c r="O62" s="288" t="s">
        <v>259</v>
      </c>
      <c r="P62" s="288"/>
      <c r="Q62" s="288"/>
      <c r="R62" s="288"/>
      <c r="S62" s="32" t="e">
        <f>('Manpower &amp; time'!H17+K51)*N9/60</f>
        <v>#REF!</v>
      </c>
    </row>
    <row r="63" spans="3:20" x14ac:dyDescent="0.25">
      <c r="K63" s="220"/>
      <c r="M63" s="215"/>
      <c r="N63" s="216"/>
      <c r="O63" s="288" t="s">
        <v>260</v>
      </c>
      <c r="P63" s="288"/>
      <c r="Q63" s="288"/>
      <c r="R63" s="288"/>
      <c r="S63" s="32" t="e">
        <f>('Manpower &amp; time'!H19+K51)*N9/60</f>
        <v>#REF!</v>
      </c>
    </row>
    <row r="64" spans="3:20" x14ac:dyDescent="0.25">
      <c r="K64" s="220"/>
      <c r="M64" s="215"/>
      <c r="N64" s="216"/>
      <c r="O64" s="288" t="s">
        <v>304</v>
      </c>
      <c r="P64" s="288"/>
      <c r="Q64" s="288"/>
      <c r="R64" s="288"/>
      <c r="S64" s="32" t="e">
        <f>('Manpower &amp; time'!H16+K51)*N$10/60</f>
        <v>#REF!</v>
      </c>
    </row>
    <row r="65" spans="7:19" x14ac:dyDescent="0.25">
      <c r="K65" s="220"/>
      <c r="M65" s="215"/>
      <c r="N65" s="216"/>
      <c r="O65" s="288" t="s">
        <v>305</v>
      </c>
      <c r="P65" s="288"/>
      <c r="Q65" s="288"/>
      <c r="R65" s="288"/>
      <c r="S65" s="32" t="e">
        <f>('Manpower &amp; time'!H17+K51)*N$10/60</f>
        <v>#REF!</v>
      </c>
    </row>
    <row r="66" spans="7:19" x14ac:dyDescent="0.25">
      <c r="K66" s="221"/>
      <c r="M66" s="215"/>
      <c r="N66" s="216"/>
      <c r="O66" s="288" t="s">
        <v>306</v>
      </c>
      <c r="P66" s="288"/>
      <c r="Q66" s="288"/>
      <c r="R66" s="288"/>
      <c r="S66" s="32" t="e">
        <f>('Manpower &amp; time'!H19+K51)*N$10/60</f>
        <v>#REF!</v>
      </c>
    </row>
    <row r="67" spans="7:19" ht="15.75" thickBot="1" x14ac:dyDescent="0.3">
      <c r="M67" s="206"/>
      <c r="N67" s="222"/>
      <c r="O67" s="289" t="s">
        <v>270</v>
      </c>
      <c r="P67" s="289"/>
      <c r="Q67" s="289"/>
      <c r="R67" s="289"/>
      <c r="S67" s="34" t="e">
        <f>('Manpower &amp; time'!H16+S55)*(N11+N7)/60</f>
        <v>#REF!</v>
      </c>
    </row>
    <row r="68" spans="7:19" x14ac:dyDescent="0.25">
      <c r="M68" s="292" t="s">
        <v>18</v>
      </c>
      <c r="N68" s="341"/>
      <c r="O68" s="287" t="s">
        <v>271</v>
      </c>
      <c r="P68" s="287"/>
      <c r="Q68" s="287"/>
      <c r="R68" s="287"/>
      <c r="S68" s="29">
        <f>SUM(T12:T15)+T18</f>
        <v>23026.025600000001</v>
      </c>
    </row>
    <row r="69" spans="7:19" x14ac:dyDescent="0.25">
      <c r="M69" s="337" t="s">
        <v>466</v>
      </c>
      <c r="N69" s="338"/>
      <c r="O69" s="288" t="s">
        <v>272</v>
      </c>
      <c r="P69" s="288"/>
      <c r="Q69" s="288"/>
      <c r="R69" s="288"/>
      <c r="S69" s="30" t="e">
        <f>S68/(N14*#REF!*#REF!)+K51</f>
        <v>#REF!</v>
      </c>
    </row>
    <row r="70" spans="7:19" x14ac:dyDescent="0.25">
      <c r="K70" s="220"/>
      <c r="M70" s="23" t="s">
        <v>469</v>
      </c>
      <c r="N70" s="24">
        <v>2.5</v>
      </c>
      <c r="O70" s="288" t="s">
        <v>273</v>
      </c>
      <c r="P70" s="288"/>
      <c r="Q70" s="288"/>
      <c r="R70" s="288"/>
      <c r="S70" s="30" t="e">
        <f>S69+R17+R16</f>
        <v>#REF!</v>
      </c>
    </row>
    <row r="71" spans="7:19" x14ac:dyDescent="0.25">
      <c r="M71" s="23" t="s">
        <v>493</v>
      </c>
      <c r="N71" s="24">
        <v>0.5</v>
      </c>
      <c r="O71" s="288"/>
      <c r="P71" s="288"/>
      <c r="Q71" s="288"/>
      <c r="R71" s="288"/>
      <c r="S71" s="31"/>
    </row>
    <row r="72" spans="7:19" x14ac:dyDescent="0.25">
      <c r="G72" s="209"/>
      <c r="M72" s="223"/>
      <c r="N72" s="224"/>
      <c r="O72" s="288" t="s">
        <v>258</v>
      </c>
      <c r="P72" s="288"/>
      <c r="Q72" s="288"/>
      <c r="R72" s="288"/>
      <c r="S72" s="32" t="e">
        <f>(K52+S70)*N16/60</f>
        <v>#REF!</v>
      </c>
    </row>
    <row r="73" spans="7:19" x14ac:dyDescent="0.25">
      <c r="M73" s="223"/>
      <c r="N73" s="224"/>
      <c r="O73" s="288" t="s">
        <v>457</v>
      </c>
      <c r="P73" s="288"/>
      <c r="Q73" s="288"/>
      <c r="R73" s="288"/>
      <c r="S73" s="33" t="e">
        <f>(K52)*N16/60/S72</f>
        <v>#REF!</v>
      </c>
    </row>
    <row r="74" spans="7:19" x14ac:dyDescent="0.25">
      <c r="M74" s="223"/>
      <c r="N74" s="224"/>
      <c r="O74" s="288"/>
      <c r="P74" s="288"/>
      <c r="Q74" s="288"/>
      <c r="R74" s="288"/>
      <c r="S74" s="32"/>
    </row>
    <row r="75" spans="7:19" x14ac:dyDescent="0.25">
      <c r="M75" s="223"/>
      <c r="N75" s="224"/>
      <c r="O75" s="288" t="s">
        <v>261</v>
      </c>
      <c r="P75" s="288"/>
      <c r="Q75" s="288"/>
      <c r="R75" s="288"/>
      <c r="S75" s="32" t="e">
        <f>(K52+K51)*N$17/60</f>
        <v>#REF!</v>
      </c>
    </row>
    <row r="76" spans="7:19" x14ac:dyDescent="0.25">
      <c r="M76" s="223"/>
      <c r="N76" s="224"/>
      <c r="O76" s="288" t="s">
        <v>259</v>
      </c>
      <c r="P76" s="288"/>
      <c r="Q76" s="288"/>
      <c r="R76" s="288"/>
      <c r="S76" s="32" t="e">
        <f>(K53+K51)*N$17/60</f>
        <v>#REF!</v>
      </c>
    </row>
    <row r="77" spans="7:19" x14ac:dyDescent="0.25">
      <c r="M77" s="223"/>
      <c r="N77" s="224"/>
      <c r="O77" s="288" t="s">
        <v>260</v>
      </c>
      <c r="P77" s="288"/>
      <c r="Q77" s="288"/>
      <c r="R77" s="288"/>
      <c r="S77" s="32" t="e">
        <f>(K55+K51)*N$17/60</f>
        <v>#REF!</v>
      </c>
    </row>
    <row r="78" spans="7:19" x14ac:dyDescent="0.25">
      <c r="M78" s="223"/>
      <c r="N78" s="224"/>
      <c r="O78" s="288" t="s">
        <v>304</v>
      </c>
      <c r="P78" s="288"/>
      <c r="Q78" s="288"/>
      <c r="R78" s="288"/>
      <c r="S78" s="32" t="e">
        <f>(K52+K51)*N$18/60</f>
        <v>#REF!</v>
      </c>
    </row>
    <row r="79" spans="7:19" x14ac:dyDescent="0.25">
      <c r="M79" s="223"/>
      <c r="N79" s="224"/>
      <c r="O79" s="288" t="s">
        <v>305</v>
      </c>
      <c r="P79" s="288"/>
      <c r="Q79" s="288"/>
      <c r="R79" s="288"/>
      <c r="S79" s="32" t="e">
        <f>(K53+K51)*N$18/60</f>
        <v>#REF!</v>
      </c>
    </row>
    <row r="80" spans="7:19" x14ac:dyDescent="0.25">
      <c r="M80" s="223"/>
      <c r="N80" s="224"/>
      <c r="O80" s="288" t="s">
        <v>306</v>
      </c>
      <c r="P80" s="288"/>
      <c r="Q80" s="288"/>
      <c r="R80" s="288"/>
      <c r="S80" s="32" t="e">
        <f>(K55+K51)*N$18/60</f>
        <v>#REF!</v>
      </c>
    </row>
    <row r="81" spans="13:20" ht="15.75" thickBot="1" x14ac:dyDescent="0.3">
      <c r="M81" s="223"/>
      <c r="N81" s="224"/>
      <c r="O81" s="290" t="s">
        <v>270</v>
      </c>
      <c r="P81" s="290"/>
      <c r="Q81" s="290"/>
      <c r="R81" s="290"/>
      <c r="S81" s="90" t="e">
        <f>(K52+S69)*(N15+N19)/60</f>
        <v>#REF!</v>
      </c>
    </row>
    <row r="82" spans="13:20" x14ac:dyDescent="0.25">
      <c r="M82" s="334" t="s">
        <v>393</v>
      </c>
      <c r="N82" s="336"/>
      <c r="O82" s="287" t="s">
        <v>271</v>
      </c>
      <c r="P82" s="287"/>
      <c r="Q82" s="287"/>
      <c r="R82" s="287"/>
      <c r="S82" s="29" t="e">
        <f>T20+T21</f>
        <v>#REF!</v>
      </c>
    </row>
    <row r="83" spans="13:20" x14ac:dyDescent="0.25">
      <c r="M83" s="331" t="s">
        <v>467</v>
      </c>
      <c r="N83" s="332"/>
      <c r="O83" s="288" t="s">
        <v>272</v>
      </c>
      <c r="P83" s="288"/>
      <c r="Q83" s="288"/>
      <c r="R83" s="288"/>
      <c r="S83" s="30" t="e">
        <f>S82/(N23*#REF!*#REF!)+K51</f>
        <v>#REF!</v>
      </c>
    </row>
    <row r="84" spans="13:20" x14ac:dyDescent="0.25">
      <c r="M84" s="19" t="s">
        <v>468</v>
      </c>
      <c r="N84" s="20">
        <f>'Laser cutter'!J14</f>
        <v>0.71739130434782605</v>
      </c>
      <c r="O84" s="288" t="s">
        <v>273</v>
      </c>
      <c r="P84" s="288"/>
      <c r="Q84" s="288"/>
      <c r="R84" s="288"/>
      <c r="S84" s="30" t="e">
        <f>S83+R23+R27</f>
        <v>#REF!</v>
      </c>
    </row>
    <row r="85" spans="13:20" x14ac:dyDescent="0.25">
      <c r="M85" s="331"/>
      <c r="N85" s="332"/>
      <c r="O85" s="288"/>
      <c r="P85" s="288"/>
      <c r="Q85" s="288"/>
      <c r="R85" s="288"/>
      <c r="S85" s="31"/>
    </row>
    <row r="86" spans="13:20" x14ac:dyDescent="0.25">
      <c r="M86" s="331"/>
      <c r="N86" s="332"/>
      <c r="O86" s="288" t="s">
        <v>394</v>
      </c>
      <c r="P86" s="288"/>
      <c r="Q86" s="288"/>
      <c r="R86" s="288"/>
      <c r="S86" s="32" t="e">
        <f>(K52*0.4+S84)*N32/60</f>
        <v>#REF!</v>
      </c>
    </row>
    <row r="87" spans="13:20" x14ac:dyDescent="0.25">
      <c r="M87" s="331"/>
      <c r="N87" s="332"/>
      <c r="O87" s="288" t="s">
        <v>457</v>
      </c>
      <c r="P87" s="288"/>
      <c r="Q87" s="288"/>
      <c r="R87" s="288"/>
      <c r="S87" s="33" t="e">
        <f>(K52)*N32/60/S86</f>
        <v>#REF!</v>
      </c>
    </row>
    <row r="88" spans="13:20" x14ac:dyDescent="0.25">
      <c r="M88" s="331"/>
      <c r="N88" s="332"/>
      <c r="O88" s="288"/>
      <c r="P88" s="288"/>
      <c r="Q88" s="288"/>
      <c r="R88" s="288"/>
      <c r="S88" s="179"/>
    </row>
    <row r="89" spans="13:20" x14ac:dyDescent="0.25">
      <c r="M89" s="331"/>
      <c r="N89" s="332"/>
      <c r="O89" s="288" t="s">
        <v>489</v>
      </c>
      <c r="P89" s="288"/>
      <c r="Q89" s="288"/>
      <c r="R89" s="288"/>
      <c r="S89" s="89" t="e">
        <f>(K52+K51)*N33/60</f>
        <v>#REF!</v>
      </c>
    </row>
    <row r="90" spans="13:20" x14ac:dyDescent="0.25">
      <c r="M90" s="331"/>
      <c r="N90" s="332"/>
      <c r="O90" s="288" t="s">
        <v>490</v>
      </c>
      <c r="P90" s="288"/>
      <c r="Q90" s="288"/>
      <c r="R90" s="288"/>
      <c r="S90" s="89" t="e">
        <f>(K53+K51)*N33/60</f>
        <v>#REF!</v>
      </c>
    </row>
    <row r="91" spans="13:20" x14ac:dyDescent="0.25">
      <c r="M91" s="331"/>
      <c r="N91" s="332"/>
      <c r="O91" s="288" t="s">
        <v>491</v>
      </c>
      <c r="P91" s="288"/>
      <c r="Q91" s="288"/>
      <c r="R91" s="288"/>
      <c r="S91" s="89" t="e">
        <f>(K52+K51)*N34/60</f>
        <v>#REF!</v>
      </c>
    </row>
    <row r="92" spans="13:20" x14ac:dyDescent="0.25">
      <c r="M92" s="331"/>
      <c r="N92" s="332"/>
      <c r="O92" s="288" t="s">
        <v>492</v>
      </c>
      <c r="P92" s="288"/>
      <c r="Q92" s="288"/>
      <c r="R92" s="288"/>
      <c r="S92" s="89" t="e">
        <f>(K53+K51)*N$34/60</f>
        <v>#REF!</v>
      </c>
    </row>
    <row r="93" spans="13:20" ht="15.75" thickBot="1" x14ac:dyDescent="0.3">
      <c r="M93" s="225"/>
      <c r="N93" s="226"/>
      <c r="O93" s="289" t="s">
        <v>270</v>
      </c>
      <c r="P93" s="289"/>
      <c r="Q93" s="289"/>
      <c r="R93" s="289"/>
      <c r="S93" s="34" t="e">
        <f>(K52+S83)*(N35+N27)/60</f>
        <v>#REF!</v>
      </c>
    </row>
    <row r="94" spans="13:20" x14ac:dyDescent="0.25">
      <c r="M94" s="339" t="s">
        <v>24</v>
      </c>
      <c r="N94" s="340"/>
      <c r="O94" s="291" t="s">
        <v>271</v>
      </c>
      <c r="P94" s="291"/>
      <c r="Q94" s="291"/>
      <c r="R94" s="291"/>
      <c r="S94" s="227">
        <f>SUM(T36:T41)</f>
        <v>2176.9659999999999</v>
      </c>
    </row>
    <row r="95" spans="13:20" x14ac:dyDescent="0.25">
      <c r="M95" s="139"/>
      <c r="N95" s="140"/>
      <c r="O95" s="288" t="s">
        <v>272</v>
      </c>
      <c r="P95" s="288"/>
      <c r="Q95" s="288"/>
      <c r="R95" s="288"/>
      <c r="S95" s="173" t="e">
        <f>S94/(N38*#REF!*#REF!)+K51</f>
        <v>#REF!</v>
      </c>
      <c r="T95" s="210"/>
    </row>
    <row r="96" spans="13:20" x14ac:dyDescent="0.25">
      <c r="M96" s="215"/>
      <c r="N96" s="216"/>
      <c r="O96" s="288" t="s">
        <v>273</v>
      </c>
      <c r="P96" s="288"/>
      <c r="Q96" s="288"/>
      <c r="R96" s="288"/>
      <c r="S96" s="173" t="e">
        <f>S95+R42</f>
        <v>#REF!</v>
      </c>
    </row>
    <row r="97" spans="13:19" x14ac:dyDescent="0.25">
      <c r="M97" s="215"/>
      <c r="N97" s="216"/>
      <c r="O97" s="288"/>
      <c r="P97" s="288"/>
      <c r="Q97" s="288"/>
      <c r="R97" s="288"/>
      <c r="S97" s="179"/>
    </row>
    <row r="98" spans="13:19" x14ac:dyDescent="0.25">
      <c r="M98" s="215"/>
      <c r="N98" s="216"/>
      <c r="O98" s="288" t="s">
        <v>441</v>
      </c>
      <c r="P98" s="288"/>
      <c r="Q98" s="288"/>
      <c r="R98" s="288"/>
      <c r="S98" s="174" t="e">
        <f>R43+R45+(S96+K54)*N39/60</f>
        <v>#REF!</v>
      </c>
    </row>
    <row r="99" spans="13:19" x14ac:dyDescent="0.25">
      <c r="M99" s="215"/>
      <c r="N99" s="216"/>
      <c r="O99" s="288" t="s">
        <v>442</v>
      </c>
      <c r="P99" s="288"/>
      <c r="Q99" s="288"/>
      <c r="R99" s="288"/>
      <c r="S99" s="173" t="e">
        <f>R44+R45+(S96+K54)*N39/60</f>
        <v>#REF!</v>
      </c>
    </row>
    <row r="100" spans="13:19" ht="15.75" thickBot="1" x14ac:dyDescent="0.3">
      <c r="M100" s="206"/>
      <c r="N100" s="222"/>
      <c r="O100" s="289"/>
      <c r="P100" s="289"/>
      <c r="Q100" s="289"/>
      <c r="R100" s="289"/>
      <c r="S100" s="191"/>
    </row>
    <row r="101" spans="13:19" x14ac:dyDescent="0.25">
      <c r="M101" s="292" t="s">
        <v>380</v>
      </c>
      <c r="N101" s="341"/>
      <c r="O101" s="287" t="s">
        <v>271</v>
      </c>
      <c r="P101" s="287"/>
      <c r="Q101" s="287"/>
      <c r="R101" s="287"/>
      <c r="S101" s="29">
        <f>SUM(T46:T49)</f>
        <v>4775</v>
      </c>
    </row>
    <row r="102" spans="13:19" x14ac:dyDescent="0.25">
      <c r="M102" s="137"/>
      <c r="N102" s="138"/>
      <c r="O102" s="288" t="s">
        <v>272</v>
      </c>
      <c r="P102" s="288"/>
      <c r="Q102" s="288"/>
      <c r="R102" s="288"/>
      <c r="S102" s="30" t="e">
        <f>S101/(N48*#REF!*#REF!)+K51</f>
        <v>#REF!</v>
      </c>
    </row>
    <row r="103" spans="13:19" x14ac:dyDescent="0.25">
      <c r="M103" s="223"/>
      <c r="N103" s="224"/>
      <c r="O103" s="288" t="s">
        <v>273</v>
      </c>
      <c r="P103" s="288"/>
      <c r="Q103" s="288"/>
      <c r="R103" s="288"/>
      <c r="S103" s="30" t="e">
        <f>S102+R51+R50</f>
        <v>#REF!</v>
      </c>
    </row>
    <row r="104" spans="13:19" x14ac:dyDescent="0.25">
      <c r="M104" s="223"/>
      <c r="N104" s="224"/>
      <c r="O104" s="288"/>
      <c r="P104" s="288"/>
      <c r="Q104" s="288"/>
      <c r="R104" s="288"/>
      <c r="S104" s="31"/>
    </row>
    <row r="105" spans="13:19" x14ac:dyDescent="0.25">
      <c r="M105" s="223"/>
      <c r="N105" s="224"/>
      <c r="O105" s="288" t="s">
        <v>258</v>
      </c>
      <c r="P105" s="288"/>
      <c r="Q105" s="288"/>
      <c r="R105" s="288"/>
      <c r="S105" s="32" t="e">
        <f>(K52+S103)*N50/60</f>
        <v>#REF!</v>
      </c>
    </row>
    <row r="106" spans="13:19" ht="15.75" thickBot="1" x14ac:dyDescent="0.3">
      <c r="M106" s="228"/>
      <c r="N106" s="229"/>
      <c r="O106" s="289" t="s">
        <v>270</v>
      </c>
      <c r="P106" s="289"/>
      <c r="Q106" s="289"/>
      <c r="R106" s="289"/>
      <c r="S106" s="34" t="e">
        <f>(K52+S102)*(N49+N51)/60</f>
        <v>#REF!</v>
      </c>
    </row>
  </sheetData>
  <mergeCells count="93">
    <mergeCell ref="O103:R103"/>
    <mergeCell ref="O104:R104"/>
    <mergeCell ref="M94:N94"/>
    <mergeCell ref="O96:R96"/>
    <mergeCell ref="O97:R97"/>
    <mergeCell ref="O92:R92"/>
    <mergeCell ref="O93:R93"/>
    <mergeCell ref="M101:N101"/>
    <mergeCell ref="O101:R101"/>
    <mergeCell ref="O102:R102"/>
    <mergeCell ref="M89:N89"/>
    <mergeCell ref="M90:N90"/>
    <mergeCell ref="M91:N91"/>
    <mergeCell ref="M92:N92"/>
    <mergeCell ref="M4:N4"/>
    <mergeCell ref="M20:N20"/>
    <mergeCell ref="M82:N82"/>
    <mergeCell ref="M69:N69"/>
    <mergeCell ref="M55:N55"/>
    <mergeCell ref="M68:N68"/>
    <mergeCell ref="M83:N83"/>
    <mergeCell ref="M85:N85"/>
    <mergeCell ref="M86:N86"/>
    <mergeCell ref="M87:N87"/>
    <mergeCell ref="M88:N88"/>
    <mergeCell ref="O59:R59"/>
    <mergeCell ref="O60:R60"/>
    <mergeCell ref="O73:R73"/>
    <mergeCell ref="O74:R74"/>
    <mergeCell ref="O62:R62"/>
    <mergeCell ref="O63:R63"/>
    <mergeCell ref="O64:R64"/>
    <mergeCell ref="O65:R65"/>
    <mergeCell ref="O68:R68"/>
    <mergeCell ref="O69:R69"/>
    <mergeCell ref="O70:R70"/>
    <mergeCell ref="O71:R71"/>
    <mergeCell ref="O72:R72"/>
    <mergeCell ref="O56:R56"/>
    <mergeCell ref="H54:J54"/>
    <mergeCell ref="G50:G51"/>
    <mergeCell ref="G52:G55"/>
    <mergeCell ref="M53:S53"/>
    <mergeCell ref="H55:J55"/>
    <mergeCell ref="O54:R54"/>
    <mergeCell ref="O55:R55"/>
    <mergeCell ref="M54:N54"/>
    <mergeCell ref="G49:K49"/>
    <mergeCell ref="H51:J51"/>
    <mergeCell ref="H50:J50"/>
    <mergeCell ref="M46:N46"/>
    <mergeCell ref="H52:J52"/>
    <mergeCell ref="H53:J53"/>
    <mergeCell ref="M12:N12"/>
    <mergeCell ref="P43:P44"/>
    <mergeCell ref="Q43:Q44"/>
    <mergeCell ref="B2:E2"/>
    <mergeCell ref="B5:B8"/>
    <mergeCell ref="B9:B12"/>
    <mergeCell ref="B13:B15"/>
    <mergeCell ref="B16:B17"/>
    <mergeCell ref="E5:E8"/>
    <mergeCell ref="G2:K2"/>
    <mergeCell ref="M2:T2"/>
    <mergeCell ref="O57:R57"/>
    <mergeCell ref="O58:R58"/>
    <mergeCell ref="O67:R67"/>
    <mergeCell ref="O61:R61"/>
    <mergeCell ref="O106:R106"/>
    <mergeCell ref="O105:R105"/>
    <mergeCell ref="O99:R99"/>
    <mergeCell ref="O100:R100"/>
    <mergeCell ref="O98:R98"/>
    <mergeCell ref="O80:R80"/>
    <mergeCell ref="O81:R81"/>
    <mergeCell ref="O79:R79"/>
    <mergeCell ref="O66:R66"/>
    <mergeCell ref="O94:R94"/>
    <mergeCell ref="O95:R95"/>
    <mergeCell ref="O77:R77"/>
    <mergeCell ref="O84:R84"/>
    <mergeCell ref="O85:R85"/>
    <mergeCell ref="O91:R91"/>
    <mergeCell ref="O86:R86"/>
    <mergeCell ref="O87:R87"/>
    <mergeCell ref="O88:R88"/>
    <mergeCell ref="O89:R89"/>
    <mergeCell ref="O90:R90"/>
    <mergeCell ref="O82:R82"/>
    <mergeCell ref="O75:R75"/>
    <mergeCell ref="O76:R76"/>
    <mergeCell ref="O78:R78"/>
    <mergeCell ref="O83:R8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A3" sqref="A3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87</v>
      </c>
      <c r="C3" t="s">
        <v>215</v>
      </c>
      <c r="D3" t="s">
        <v>214</v>
      </c>
      <c r="E3" t="s">
        <v>213</v>
      </c>
      <c r="F3" t="s">
        <v>187</v>
      </c>
      <c r="G3" t="s">
        <v>188</v>
      </c>
    </row>
    <row r="4" spans="1:19" x14ac:dyDescent="0.25">
      <c r="A4" t="s">
        <v>85</v>
      </c>
      <c r="B4" t="s">
        <v>315</v>
      </c>
      <c r="C4" t="s">
        <v>314</v>
      </c>
      <c r="E4">
        <v>208995</v>
      </c>
      <c r="G4" s="2" t="e">
        <f>E4/Summary!#REF!</f>
        <v>#REF!</v>
      </c>
      <c r="H4" s="3" t="s">
        <v>86</v>
      </c>
      <c r="P4" t="s">
        <v>384</v>
      </c>
      <c r="Q4" t="s">
        <v>383</v>
      </c>
      <c r="R4" t="s">
        <v>385</v>
      </c>
      <c r="S4" t="s">
        <v>386</v>
      </c>
    </row>
    <row r="5" spans="1:19" x14ac:dyDescent="0.25">
      <c r="A5" t="s">
        <v>388</v>
      </c>
      <c r="B5" t="s">
        <v>390</v>
      </c>
      <c r="C5" t="s">
        <v>391</v>
      </c>
      <c r="F5">
        <v>126.82</v>
      </c>
      <c r="G5" s="2" t="e">
        <f>(1-Summary!#REF!)*'Laser cutter'!F5</f>
        <v>#REF!</v>
      </c>
      <c r="H5" s="3" t="s">
        <v>387</v>
      </c>
      <c r="O5" t="s">
        <v>382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389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327</v>
      </c>
      <c r="C9" t="s">
        <v>326</v>
      </c>
      <c r="D9" t="s">
        <v>328</v>
      </c>
      <c r="E9" t="s">
        <v>329</v>
      </c>
    </row>
    <row r="10" spans="1:19" x14ac:dyDescent="0.25">
      <c r="A10" t="s">
        <v>316</v>
      </c>
      <c r="B10" t="s">
        <v>317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318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319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459</v>
      </c>
      <c r="J12" t="s">
        <v>460</v>
      </c>
    </row>
    <row r="13" spans="1:19" x14ac:dyDescent="0.25">
      <c r="B13" t="s">
        <v>320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321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461</v>
      </c>
      <c r="J14" s="18">
        <f>J13/I13</f>
        <v>0.71739130434782605</v>
      </c>
    </row>
    <row r="15" spans="1:19" x14ac:dyDescent="0.25">
      <c r="B15" t="s">
        <v>322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323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324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325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330</v>
      </c>
      <c r="B19" t="s">
        <v>317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318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319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320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321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332</v>
      </c>
      <c r="B24" t="s">
        <v>331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318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319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C17" sqref="C17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215</v>
      </c>
      <c r="C1" t="s">
        <v>214</v>
      </c>
      <c r="D1" t="s">
        <v>213</v>
      </c>
      <c r="E1" t="s">
        <v>187</v>
      </c>
      <c r="F1" t="s">
        <v>188</v>
      </c>
      <c r="G1" t="s">
        <v>198</v>
      </c>
    </row>
    <row r="2" spans="1:7" x14ac:dyDescent="0.25">
      <c r="A2" t="s">
        <v>94</v>
      </c>
      <c r="F2" s="2">
        <v>4386</v>
      </c>
      <c r="G2" s="3" t="s">
        <v>95</v>
      </c>
    </row>
    <row r="3" spans="1:7" x14ac:dyDescent="0.25">
      <c r="A3" t="s">
        <v>232</v>
      </c>
      <c r="F3" s="2">
        <v>922.6</v>
      </c>
      <c r="G3" t="s">
        <v>233</v>
      </c>
    </row>
    <row r="4" spans="1:7" x14ac:dyDescent="0.25">
      <c r="A4" t="s">
        <v>38</v>
      </c>
      <c r="F4" s="2">
        <v>3859.6</v>
      </c>
      <c r="G4" s="3" t="s">
        <v>234</v>
      </c>
    </row>
    <row r="5" spans="1:7" x14ac:dyDescent="0.25">
      <c r="A5" t="s">
        <v>171</v>
      </c>
      <c r="F5" s="2">
        <v>8579</v>
      </c>
      <c r="G5" s="3" t="s">
        <v>172</v>
      </c>
    </row>
    <row r="6" spans="1:7" x14ac:dyDescent="0.25">
      <c r="A6" t="s">
        <v>98</v>
      </c>
      <c r="F6" s="2">
        <v>146</v>
      </c>
      <c r="G6" t="s">
        <v>97</v>
      </c>
    </row>
    <row r="7" spans="1:7" x14ac:dyDescent="0.25">
      <c r="A7" t="s">
        <v>100</v>
      </c>
      <c r="F7" s="2">
        <v>50</v>
      </c>
      <c r="G7" t="s">
        <v>99</v>
      </c>
    </row>
    <row r="8" spans="1:7" x14ac:dyDescent="0.25">
      <c r="F8" s="2"/>
    </row>
    <row r="9" spans="1:7" x14ac:dyDescent="0.25">
      <c r="A9" t="s">
        <v>102</v>
      </c>
      <c r="F9" s="2"/>
      <c r="G9" s="3" t="s">
        <v>101</v>
      </c>
    </row>
    <row r="12" spans="1:7" x14ac:dyDescent="0.25">
      <c r="A12" s="11" t="s">
        <v>397</v>
      </c>
      <c r="B12" s="11"/>
      <c r="C12" s="11" t="s">
        <v>198</v>
      </c>
    </row>
    <row r="13" spans="1:7" x14ac:dyDescent="0.25">
      <c r="A13" s="12" t="s">
        <v>398</v>
      </c>
      <c r="B13" s="13">
        <v>200</v>
      </c>
      <c r="C13" s="12" t="s">
        <v>399</v>
      </c>
    </row>
    <row r="14" spans="1:7" x14ac:dyDescent="0.25">
      <c r="A14" s="12" t="s">
        <v>400</v>
      </c>
      <c r="B14" s="12">
        <v>18</v>
      </c>
      <c r="C14" s="12" t="s">
        <v>399</v>
      </c>
    </row>
    <row r="15" spans="1:7" x14ac:dyDescent="0.25">
      <c r="A15" s="12" t="s">
        <v>401</v>
      </c>
      <c r="B15" s="14">
        <f>B14*5/228</f>
        <v>0.39473684210526316</v>
      </c>
      <c r="C15" s="12"/>
    </row>
    <row r="16" spans="1:7" x14ac:dyDescent="0.25">
      <c r="A16" s="12" t="s">
        <v>402</v>
      </c>
      <c r="B16" s="12">
        <v>5.5</v>
      </c>
      <c r="C16" s="12"/>
    </row>
    <row r="17" spans="1:4" x14ac:dyDescent="0.25">
      <c r="A17" s="12" t="s">
        <v>403</v>
      </c>
      <c r="B17" s="15">
        <f>B15*B13/B16</f>
        <v>14.354066985645932</v>
      </c>
      <c r="C17" s="12"/>
      <c r="D17" s="5"/>
    </row>
    <row r="19" spans="1:4" x14ac:dyDescent="0.25">
      <c r="A19" s="11" t="s">
        <v>404</v>
      </c>
      <c r="B19" s="11"/>
      <c r="C19" s="11" t="s">
        <v>198</v>
      </c>
    </row>
    <row r="20" spans="1:4" x14ac:dyDescent="0.25">
      <c r="A20" s="12" t="s">
        <v>405</v>
      </c>
      <c r="B20" s="12">
        <v>12.8</v>
      </c>
      <c r="C20" s="12" t="s">
        <v>399</v>
      </c>
    </row>
    <row r="21" spans="1:4" x14ac:dyDescent="0.25">
      <c r="A21" s="12" t="s">
        <v>406</v>
      </c>
      <c r="B21" s="12">
        <v>11</v>
      </c>
      <c r="C21" s="12" t="s">
        <v>399</v>
      </c>
    </row>
    <row r="22" spans="1:4" x14ac:dyDescent="0.25">
      <c r="A22" s="12" t="s">
        <v>407</v>
      </c>
      <c r="B22" s="12">
        <f>PI()*0.04*0.04*100*7.8</f>
        <v>3.9207076316800622</v>
      </c>
      <c r="C22" s="12"/>
    </row>
    <row r="23" spans="1:4" x14ac:dyDescent="0.25">
      <c r="A23" s="12" t="s">
        <v>408</v>
      </c>
      <c r="B23" s="13">
        <f>B20*B22/1000</f>
        <v>5.0185057685504804E-2</v>
      </c>
      <c r="C23" s="12"/>
    </row>
    <row r="25" spans="1:4" x14ac:dyDescent="0.25">
      <c r="A25" s="11" t="s">
        <v>409</v>
      </c>
      <c r="B25" s="11"/>
      <c r="C25" s="11" t="s">
        <v>198</v>
      </c>
    </row>
    <row r="26" spans="1:4" x14ac:dyDescent="0.25">
      <c r="A26" s="12" t="s">
        <v>405</v>
      </c>
      <c r="B26" s="12">
        <v>10.050000000000001</v>
      </c>
      <c r="C26" s="16" t="s">
        <v>410</v>
      </c>
    </row>
    <row r="27" spans="1:4" x14ac:dyDescent="0.25">
      <c r="A27" s="12" t="s">
        <v>411</v>
      </c>
      <c r="B27" s="12">
        <v>2</v>
      </c>
      <c r="C27" s="12" t="s">
        <v>399</v>
      </c>
    </row>
    <row r="28" spans="1:4" x14ac:dyDescent="0.25">
      <c r="A28" s="12" t="s">
        <v>407</v>
      </c>
      <c r="B28" s="12">
        <f>PI()*0.1*0.1*100*2.7</f>
        <v>8.4823001646924432</v>
      </c>
      <c r="C28" s="12"/>
    </row>
    <row r="29" spans="1:4" x14ac:dyDescent="0.25">
      <c r="A29" s="12" t="s">
        <v>408</v>
      </c>
      <c r="B29" s="13">
        <f>B26*B28/1000</f>
        <v>8.5247116655159064E-2</v>
      </c>
      <c r="C29" s="12"/>
    </row>
    <row r="30" spans="1:4" x14ac:dyDescent="0.25">
      <c r="C30" s="11"/>
    </row>
    <row r="31" spans="1:4" x14ac:dyDescent="0.25">
      <c r="A31" s="12" t="s">
        <v>433</v>
      </c>
      <c r="B31" s="12"/>
      <c r="C31" s="11" t="s">
        <v>198</v>
      </c>
    </row>
    <row r="32" spans="1:4" x14ac:dyDescent="0.25">
      <c r="A32" s="12" t="s">
        <v>434</v>
      </c>
      <c r="B32" s="17">
        <f>30/(2*PI()*0.034)</f>
        <v>140.43083213990764</v>
      </c>
      <c r="C32" s="12" t="s">
        <v>399</v>
      </c>
    </row>
    <row r="33" spans="1:3" x14ac:dyDescent="0.25">
      <c r="A33" s="12" t="s">
        <v>435</v>
      </c>
      <c r="B33" s="15" t="e">
        <f>'Manpower &amp; time'!H17/60</f>
        <v>#REF!</v>
      </c>
      <c r="C33" s="12"/>
    </row>
    <row r="34" spans="1:3" x14ac:dyDescent="0.25">
      <c r="A34" s="12" t="s">
        <v>436</v>
      </c>
      <c r="B34" s="15" t="e">
        <f>B33*B32</f>
        <v>#REF!</v>
      </c>
      <c r="C34" s="12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activeCell="B3" sqref="B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97" t="s">
        <v>25</v>
      </c>
      <c r="B1" s="105" t="s">
        <v>448</v>
      </c>
      <c r="C1" s="98" t="s">
        <v>198</v>
      </c>
    </row>
    <row r="2" spans="1:3" x14ac:dyDescent="0.25">
      <c r="A2" s="95" t="s">
        <v>446</v>
      </c>
      <c r="B2" s="99">
        <v>15000</v>
      </c>
      <c r="C2" s="96" t="s">
        <v>444</v>
      </c>
    </row>
    <row r="3" spans="1:3" ht="15.75" thickBot="1" x14ac:dyDescent="0.3">
      <c r="A3" s="93" t="s">
        <v>447</v>
      </c>
      <c r="B3" s="88">
        <v>10000</v>
      </c>
      <c r="C3" s="94" t="s">
        <v>445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C73" sqref="C73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291</v>
      </c>
    </row>
    <row r="2" spans="1:23" x14ac:dyDescent="0.25">
      <c r="A2" t="s">
        <v>0</v>
      </c>
      <c r="G2" t="s">
        <v>9</v>
      </c>
      <c r="M2" t="s">
        <v>6</v>
      </c>
      <c r="S2" s="8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289</v>
      </c>
      <c r="S3" t="s">
        <v>4</v>
      </c>
      <c r="T3" t="s">
        <v>1</v>
      </c>
      <c r="U3" t="s">
        <v>290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263</v>
      </c>
      <c r="S15" t="s">
        <v>6</v>
      </c>
      <c r="T15" t="s">
        <v>263</v>
      </c>
      <c r="U15" t="s">
        <v>475</v>
      </c>
    </row>
    <row r="16" spans="1:23" x14ac:dyDescent="0.25">
      <c r="D16" t="s">
        <v>8</v>
      </c>
      <c r="E16" s="1">
        <f>AVERAGE(E4:E15)</f>
        <v>3.7201299982926756E-5</v>
      </c>
      <c r="N16" t="s">
        <v>264</v>
      </c>
      <c r="O16" t="s">
        <v>2</v>
      </c>
      <c r="P16" t="s">
        <v>74</v>
      </c>
      <c r="Q16" t="s">
        <v>3</v>
      </c>
      <c r="S16" t="s">
        <v>476</v>
      </c>
      <c r="T16" t="s">
        <v>477</v>
      </c>
      <c r="U16" t="s">
        <v>478</v>
      </c>
      <c r="V16" t="s">
        <v>479</v>
      </c>
    </row>
    <row r="17" spans="1:22" x14ac:dyDescent="0.25">
      <c r="N17">
        <v>5</v>
      </c>
      <c r="O17">
        <v>500</v>
      </c>
      <c r="P17" s="2">
        <v>1.61</v>
      </c>
      <c r="Q17" s="7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7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265</v>
      </c>
      <c r="B19" t="s">
        <v>263</v>
      </c>
      <c r="N19">
        <v>15</v>
      </c>
      <c r="O19">
        <v>500</v>
      </c>
      <c r="P19" s="2">
        <v>4.8</v>
      </c>
      <c r="Q19" s="7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264</v>
      </c>
      <c r="C20" t="s">
        <v>2</v>
      </c>
      <c r="D20" t="s">
        <v>74</v>
      </c>
      <c r="E20" t="s">
        <v>3</v>
      </c>
      <c r="N20">
        <v>18</v>
      </c>
      <c r="O20">
        <v>500</v>
      </c>
      <c r="P20" s="2">
        <v>6.36</v>
      </c>
      <c r="Q20" s="7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7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7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7">
        <f t="shared" si="6"/>
        <v>5.3157750992693033E-5</v>
      </c>
      <c r="P22" t="s">
        <v>8</v>
      </c>
      <c r="Q22" s="7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7">
        <f t="shared" si="6"/>
        <v>5.5077256063922563E-5</v>
      </c>
      <c r="P23" s="2"/>
      <c r="S23">
        <v>6060</v>
      </c>
      <c r="T23" t="s">
        <v>480</v>
      </c>
    </row>
    <row r="24" spans="1:22" x14ac:dyDescent="0.25">
      <c r="B24">
        <v>25</v>
      </c>
      <c r="C24">
        <v>500</v>
      </c>
      <c r="D24" s="2">
        <v>13.11</v>
      </c>
      <c r="E24" s="7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7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7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7">
        <f t="shared" si="6"/>
        <v>3.338486055256606E-5</v>
      </c>
      <c r="U27" s="2"/>
      <c r="V27" s="1"/>
    </row>
    <row r="28" spans="1:22" x14ac:dyDescent="0.25">
      <c r="D28" t="s">
        <v>8</v>
      </c>
      <c r="E28" s="7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294</v>
      </c>
      <c r="G30" s="3" t="s">
        <v>293</v>
      </c>
      <c r="N30" s="3" t="s">
        <v>412</v>
      </c>
    </row>
    <row r="31" spans="1:22" x14ac:dyDescent="0.25">
      <c r="A31" t="s">
        <v>292</v>
      </c>
      <c r="B31" t="s">
        <v>263</v>
      </c>
      <c r="G31" t="s">
        <v>292</v>
      </c>
      <c r="H31" t="s">
        <v>263</v>
      </c>
      <c r="N31" t="s">
        <v>413</v>
      </c>
      <c r="O31" t="s">
        <v>263</v>
      </c>
    </row>
    <row r="32" spans="1:22" x14ac:dyDescent="0.25">
      <c r="B32" t="s">
        <v>264</v>
      </c>
      <c r="C32" t="s">
        <v>2</v>
      </c>
      <c r="D32" t="s">
        <v>74</v>
      </c>
      <c r="E32" t="s">
        <v>3</v>
      </c>
      <c r="H32" t="s">
        <v>264</v>
      </c>
      <c r="I32" t="s">
        <v>2</v>
      </c>
      <c r="J32" t="s">
        <v>74</v>
      </c>
      <c r="K32" t="s">
        <v>3</v>
      </c>
      <c r="O32" t="s">
        <v>264</v>
      </c>
      <c r="P32" t="s">
        <v>2</v>
      </c>
      <c r="Q32" t="s">
        <v>74</v>
      </c>
      <c r="R32" t="s">
        <v>481</v>
      </c>
    </row>
    <row r="33" spans="1:18" x14ac:dyDescent="0.25">
      <c r="B33">
        <v>10</v>
      </c>
      <c r="C33">
        <v>1000</v>
      </c>
      <c r="D33" s="2">
        <v>20.5</v>
      </c>
      <c r="E33" s="7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7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7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7">
        <f t="shared" si="7"/>
        <v>2.2132484273716698E-4</v>
      </c>
      <c r="H34">
        <v>16</v>
      </c>
      <c r="I34">
        <v>300</v>
      </c>
      <c r="J34" s="2">
        <v>15.77</v>
      </c>
      <c r="K34" s="7">
        <f t="shared" si="8"/>
        <v>2.6144515130824893E-4</v>
      </c>
      <c r="O34">
        <v>20</v>
      </c>
      <c r="P34">
        <v>1000</v>
      </c>
      <c r="Q34" s="2">
        <v>9.23</v>
      </c>
      <c r="R34" s="7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7">
        <f t="shared" si="7"/>
        <v>2.1247184902768027E-4</v>
      </c>
      <c r="H35">
        <v>20</v>
      </c>
      <c r="I35">
        <v>300</v>
      </c>
      <c r="J35" s="2">
        <v>23.4</v>
      </c>
      <c r="K35" s="7">
        <f t="shared" si="8"/>
        <v>2.4828171122335673E-4</v>
      </c>
      <c r="O35">
        <v>25</v>
      </c>
      <c r="P35">
        <v>1000</v>
      </c>
      <c r="Q35" s="2">
        <v>14.44</v>
      </c>
      <c r="R35" s="7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7">
        <f t="shared" si="7"/>
        <v>2.0013734093805838E-4</v>
      </c>
      <c r="H36">
        <v>40</v>
      </c>
      <c r="I36">
        <v>300</v>
      </c>
      <c r="J36" s="2">
        <v>81.7</v>
      </c>
      <c r="K36" s="7">
        <f t="shared" si="8"/>
        <v>2.1671598084346415E-4</v>
      </c>
      <c r="O36">
        <v>40</v>
      </c>
      <c r="P36">
        <v>1000</v>
      </c>
      <c r="Q36" s="2">
        <v>34.869999999999997</v>
      </c>
      <c r="R36" s="7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7">
        <f t="shared" si="7"/>
        <v>1.9862536897868538E-4</v>
      </c>
      <c r="J37" t="s">
        <v>8</v>
      </c>
      <c r="K37" s="7">
        <f>AVERAGE(K33:K36)</f>
        <v>2.8145391181008314E-4</v>
      </c>
      <c r="O37">
        <v>60</v>
      </c>
      <c r="P37">
        <v>1000</v>
      </c>
      <c r="Q37" s="2">
        <v>83.14</v>
      </c>
      <c r="R37" s="7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7">
        <f t="shared" si="7"/>
        <v>1.9805948473658087E-4</v>
      </c>
      <c r="J38" s="2"/>
      <c r="K38" s="7"/>
      <c r="O38">
        <v>80</v>
      </c>
      <c r="P38">
        <v>1000</v>
      </c>
      <c r="Q38" s="2">
        <v>139.55000000000001</v>
      </c>
      <c r="R38" s="7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7">
        <f t="shared" si="7"/>
        <v>1.9745160127338264E-4</v>
      </c>
      <c r="J39" s="2"/>
      <c r="K39" s="7"/>
      <c r="Q39" t="s">
        <v>8</v>
      </c>
      <c r="R39" s="7">
        <f>AVERAGE(R33:R38)</f>
        <v>2.8834566715532905E-5</v>
      </c>
    </row>
    <row r="40" spans="1:18" x14ac:dyDescent="0.25">
      <c r="D40" t="s">
        <v>8</v>
      </c>
      <c r="E40" s="7">
        <f>AVERAGE(E33:E39)</f>
        <v>2.1272637062318042E-4</v>
      </c>
      <c r="K40" s="7"/>
    </row>
    <row r="43" spans="1:18" x14ac:dyDescent="0.25">
      <c r="A43" s="3" t="s">
        <v>414</v>
      </c>
    </row>
    <row r="44" spans="1:18" x14ac:dyDescent="0.25">
      <c r="A44" t="s">
        <v>415</v>
      </c>
      <c r="B44" t="s">
        <v>416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417</v>
      </c>
      <c r="G48" t="s">
        <v>418</v>
      </c>
    </row>
    <row r="49" spans="1:10" x14ac:dyDescent="0.25">
      <c r="A49" t="s">
        <v>419</v>
      </c>
      <c r="B49" t="s">
        <v>74</v>
      </c>
      <c r="C49" t="s">
        <v>420</v>
      </c>
      <c r="D49" t="s">
        <v>482</v>
      </c>
      <c r="G49" t="s">
        <v>419</v>
      </c>
      <c r="H49" t="s">
        <v>421</v>
      </c>
      <c r="I49" t="s">
        <v>422</v>
      </c>
      <c r="J49" t="s">
        <v>3</v>
      </c>
    </row>
    <row r="50" spans="1:10" x14ac:dyDescent="0.25">
      <c r="A50" t="s">
        <v>423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424</v>
      </c>
      <c r="H50" s="6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425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426</v>
      </c>
      <c r="H51" s="6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427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428</v>
      </c>
      <c r="H52" s="6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429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430</v>
      </c>
      <c r="H53" s="6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429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431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431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431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432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432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432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483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484</v>
      </c>
    </row>
    <row r="65" spans="1:7" x14ac:dyDescent="0.25">
      <c r="A65" t="s">
        <v>4</v>
      </c>
      <c r="B65" t="s">
        <v>1</v>
      </c>
      <c r="C65" t="s">
        <v>2</v>
      </c>
      <c r="D65" t="s">
        <v>485</v>
      </c>
      <c r="E65" t="s">
        <v>7</v>
      </c>
      <c r="F65" t="s">
        <v>3</v>
      </c>
      <c r="G65" t="s">
        <v>198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486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9"/>
  <sheetViews>
    <sheetView showGridLines="0" tabSelected="1" topLeftCell="A12" zoomScale="90" workbookViewId="0">
      <selection activeCell="B10" sqref="B10"/>
    </sheetView>
  </sheetViews>
  <sheetFormatPr baseColWidth="10" defaultRowHeight="15" x14ac:dyDescent="0.25"/>
  <cols>
    <col min="1" max="1" width="2.85546875" style="230" customWidth="1"/>
    <col min="2" max="2" width="43.7109375" style="257" bestFit="1" customWidth="1"/>
    <col min="3" max="3" width="9.140625" style="231" bestFit="1" customWidth="1"/>
    <col min="4" max="4" width="19.140625" style="231" bestFit="1" customWidth="1"/>
    <col min="5" max="5" width="39.5703125" style="231" bestFit="1" customWidth="1"/>
    <col min="6" max="6" width="20.28515625" style="231" bestFit="1" customWidth="1"/>
    <col min="7" max="7" width="26" style="231" bestFit="1" customWidth="1"/>
    <col min="8" max="8" width="28.42578125" style="231" bestFit="1" customWidth="1"/>
    <col min="9" max="9" width="20.7109375" style="231" bestFit="1" customWidth="1"/>
    <col min="10" max="10" width="10.5703125" style="231" bestFit="1" customWidth="1"/>
    <col min="11" max="11" width="13.140625" style="231" bestFit="1" customWidth="1"/>
    <col min="12" max="12" width="6.7109375" style="231" bestFit="1" customWidth="1"/>
    <col min="13" max="13" width="11.42578125" style="231"/>
    <col min="14" max="14" width="18" style="231" bestFit="1" customWidth="1"/>
    <col min="15" max="15" width="19.42578125" style="231" bestFit="1" customWidth="1"/>
    <col min="16" max="16" width="11.42578125" style="231"/>
    <col min="17" max="17" width="12.5703125" style="231" bestFit="1" customWidth="1"/>
    <col min="18" max="16384" width="11.42578125" style="231"/>
  </cols>
  <sheetData>
    <row r="1" spans="1:8" ht="15.75" thickBot="1" x14ac:dyDescent="0.3"/>
    <row r="2" spans="1:8" ht="15.75" thickBot="1" x14ac:dyDescent="0.3">
      <c r="A2" s="247"/>
      <c r="B2" s="354" t="s">
        <v>558</v>
      </c>
      <c r="C2" s="355"/>
      <c r="D2" s="355"/>
      <c r="E2" s="355"/>
      <c r="F2" s="356"/>
    </row>
    <row r="3" spans="1:8" ht="15.75" thickBot="1" x14ac:dyDescent="0.3">
      <c r="A3" s="247"/>
      <c r="B3" s="256" t="s">
        <v>25</v>
      </c>
      <c r="C3" s="357" t="s">
        <v>198</v>
      </c>
      <c r="D3" s="358"/>
      <c r="E3" s="358"/>
      <c r="F3" s="359"/>
    </row>
    <row r="4" spans="1:8" x14ac:dyDescent="0.25">
      <c r="A4" s="247"/>
      <c r="B4" s="258" t="s">
        <v>138</v>
      </c>
      <c r="C4" s="360" t="s">
        <v>96</v>
      </c>
      <c r="D4" s="361"/>
      <c r="E4" s="361"/>
      <c r="F4" s="362"/>
    </row>
    <row r="5" spans="1:8" x14ac:dyDescent="0.25">
      <c r="A5" s="247"/>
      <c r="B5" s="259" t="s">
        <v>539</v>
      </c>
      <c r="C5" s="363" t="s">
        <v>540</v>
      </c>
      <c r="D5" s="345"/>
      <c r="E5" s="345"/>
      <c r="F5" s="346"/>
    </row>
    <row r="6" spans="1:8" x14ac:dyDescent="0.25">
      <c r="A6" s="247"/>
      <c r="B6" s="259" t="s">
        <v>141</v>
      </c>
      <c r="C6" s="363" t="s">
        <v>140</v>
      </c>
      <c r="D6" s="345"/>
      <c r="E6" s="345"/>
      <c r="F6" s="346"/>
    </row>
    <row r="7" spans="1:8" x14ac:dyDescent="0.25">
      <c r="A7" s="247"/>
      <c r="B7" s="349" t="s">
        <v>566</v>
      </c>
      <c r="C7" s="344" t="s">
        <v>567</v>
      </c>
      <c r="D7" s="345"/>
      <c r="E7" s="345"/>
      <c r="F7" s="346"/>
    </row>
    <row r="8" spans="1:8" x14ac:dyDescent="0.25">
      <c r="A8" s="247"/>
      <c r="B8" s="350"/>
      <c r="C8" s="344" t="s">
        <v>570</v>
      </c>
      <c r="D8" s="352"/>
      <c r="E8" s="352"/>
      <c r="F8" s="353"/>
    </row>
    <row r="9" spans="1:8" x14ac:dyDescent="0.25">
      <c r="A9" s="247"/>
      <c r="B9" s="351"/>
      <c r="C9" s="344" t="s">
        <v>569</v>
      </c>
      <c r="D9" s="347"/>
      <c r="E9" s="347"/>
      <c r="F9" s="348"/>
    </row>
    <row r="10" spans="1:8" x14ac:dyDescent="0.25">
      <c r="A10" s="247"/>
      <c r="B10" s="260" t="s">
        <v>551</v>
      </c>
      <c r="C10" s="363" t="s">
        <v>552</v>
      </c>
      <c r="D10" s="345"/>
      <c r="E10" s="345"/>
      <c r="F10" s="346"/>
    </row>
    <row r="11" spans="1:8" ht="15.75" thickBot="1" x14ac:dyDescent="0.3">
      <c r="A11" s="247"/>
      <c r="B11" s="261" t="s">
        <v>537</v>
      </c>
      <c r="C11" s="364" t="s">
        <v>538</v>
      </c>
      <c r="D11" s="365"/>
      <c r="E11" s="365"/>
      <c r="F11" s="366"/>
    </row>
    <row r="12" spans="1:8" ht="15.75" thickBot="1" x14ac:dyDescent="0.3"/>
    <row r="13" spans="1:8" ht="15.75" thickBot="1" x14ac:dyDescent="0.3">
      <c r="A13" s="247"/>
      <c r="B13" s="354" t="s">
        <v>559</v>
      </c>
      <c r="C13" s="355"/>
      <c r="D13" s="355"/>
      <c r="E13" s="355"/>
      <c r="F13" s="355"/>
      <c r="G13" s="355"/>
      <c r="H13" s="356"/>
    </row>
    <row r="14" spans="1:8" ht="15.75" thickBot="1" x14ac:dyDescent="0.3">
      <c r="A14" s="247"/>
      <c r="B14" s="394" t="s">
        <v>502</v>
      </c>
      <c r="C14" s="232" t="s">
        <v>561</v>
      </c>
      <c r="D14" s="232" t="s">
        <v>572</v>
      </c>
      <c r="E14" s="232" t="s">
        <v>563</v>
      </c>
      <c r="F14" s="232" t="s">
        <v>247</v>
      </c>
      <c r="G14" s="232" t="s">
        <v>455</v>
      </c>
      <c r="H14" s="233" t="s">
        <v>246</v>
      </c>
    </row>
    <row r="15" spans="1:8" ht="30" x14ac:dyDescent="0.25">
      <c r="B15" s="395" t="s">
        <v>576</v>
      </c>
      <c r="C15" s="254">
        <v>1</v>
      </c>
      <c r="D15" s="285">
        <f>1633/0.77</f>
        <v>2120.7792207792209</v>
      </c>
      <c r="E15" s="234">
        <f t="shared" ref="E15" si="0">C15*D15*12*1.45</f>
        <v>36901.558441558438</v>
      </c>
      <c r="F15" s="249">
        <v>4.5</v>
      </c>
      <c r="G15" s="286">
        <f>E15*(1-Summary!$D$12)*F15</f>
        <v>8302.8506493506557</v>
      </c>
      <c r="H15" s="250" t="e">
        <f>#REF!*Summary!#REF!/$C$30</f>
        <v>#REF!</v>
      </c>
    </row>
    <row r="16" spans="1:8" ht="30" x14ac:dyDescent="0.25">
      <c r="B16" s="395" t="s">
        <v>575</v>
      </c>
      <c r="C16" s="254">
        <v>2</v>
      </c>
      <c r="D16" s="234">
        <v>2525</v>
      </c>
      <c r="E16" s="234">
        <f>C16*D16*12*1.45</f>
        <v>87870</v>
      </c>
      <c r="F16" s="235"/>
      <c r="G16" s="236"/>
      <c r="H16" s="237" t="e">
        <f>#REF!*Summary!#REF!/$C$30</f>
        <v>#REF!</v>
      </c>
    </row>
    <row r="17" spans="1:12" x14ac:dyDescent="0.25">
      <c r="B17" s="262" t="s">
        <v>571</v>
      </c>
      <c r="C17" s="254">
        <v>3</v>
      </c>
      <c r="D17" s="285">
        <f>2231/0.77</f>
        <v>2897.4025974025972</v>
      </c>
      <c r="E17" s="234">
        <f t="shared" ref="E16:E18" si="1">C17*D17*12*1.45</f>
        <v>151244.41558441558</v>
      </c>
      <c r="F17" s="251">
        <v>1</v>
      </c>
      <c r="G17" s="286">
        <f>E17*(1-Summary!$D$12)*F17</f>
        <v>7562.2207792207855</v>
      </c>
      <c r="H17" s="250" t="e">
        <f>#REF!*Summary!#REF!/$C$30</f>
        <v>#REF!</v>
      </c>
    </row>
    <row r="18" spans="1:12" x14ac:dyDescent="0.25">
      <c r="B18" s="262" t="s">
        <v>568</v>
      </c>
      <c r="C18" s="254">
        <v>1</v>
      </c>
      <c r="D18" s="285">
        <f>2624/0.77</f>
        <v>3407.7922077922076</v>
      </c>
      <c r="E18" s="234">
        <f t="shared" si="1"/>
        <v>59295.584415584402</v>
      </c>
      <c r="F18" s="252">
        <v>0.6</v>
      </c>
      <c r="G18" s="286">
        <f>E18*(1-Summary!$D$12)*F18</f>
        <v>1778.8675324675335</v>
      </c>
      <c r="H18" s="250" t="e">
        <f>#REF!*Summary!#REF!/$C$30</f>
        <v>#REF!</v>
      </c>
    </row>
    <row r="19" spans="1:12" ht="15.75" thickBot="1" x14ac:dyDescent="0.3">
      <c r="B19" s="263" t="s">
        <v>560</v>
      </c>
      <c r="C19" s="255" t="s">
        <v>562</v>
      </c>
      <c r="D19" s="253"/>
      <c r="E19" s="253">
        <f t="shared" ref="E19" si="2">D19*12*1.45</f>
        <v>0</v>
      </c>
      <c r="F19" s="252">
        <v>0.6</v>
      </c>
      <c r="G19" s="286">
        <f>E19*(1-Summary!$D$12)*F19</f>
        <v>0</v>
      </c>
      <c r="H19" s="250" t="e">
        <f>#REF!*Summary!#REF!/$C$30</f>
        <v>#REF!</v>
      </c>
    </row>
    <row r="20" spans="1:12" ht="15.75" thickBot="1" x14ac:dyDescent="0.3">
      <c r="E20" s="238" t="s">
        <v>239</v>
      </c>
      <c r="F20" s="248">
        <f>SUM(F19+F17+F16)</f>
        <v>1.6</v>
      </c>
      <c r="G20" s="239">
        <f>SUM(G15:G18)</f>
        <v>17643.938961038977</v>
      </c>
    </row>
    <row r="21" spans="1:12" ht="15.75" thickBot="1" x14ac:dyDescent="0.3"/>
    <row r="22" spans="1:12" ht="15.75" thickBot="1" x14ac:dyDescent="0.3">
      <c r="A22" s="247"/>
      <c r="B22" s="354" t="s">
        <v>503</v>
      </c>
      <c r="C22" s="356"/>
      <c r="E22" s="240"/>
    </row>
    <row r="23" spans="1:12" ht="15.75" thickBot="1" x14ac:dyDescent="0.3">
      <c r="A23" s="247"/>
      <c r="B23" s="256" t="s">
        <v>16</v>
      </c>
      <c r="C23" s="233" t="s">
        <v>42</v>
      </c>
      <c r="E23" s="240"/>
    </row>
    <row r="24" spans="1:12" x14ac:dyDescent="0.25">
      <c r="A24" s="247"/>
      <c r="B24" s="262" t="s">
        <v>142</v>
      </c>
      <c r="C24" s="241">
        <v>365</v>
      </c>
    </row>
    <row r="25" spans="1:12" x14ac:dyDescent="0.25">
      <c r="A25" s="247"/>
      <c r="B25" s="259" t="s">
        <v>143</v>
      </c>
      <c r="C25" s="242">
        <v>104</v>
      </c>
      <c r="E25" s="240"/>
    </row>
    <row r="26" spans="1:12" x14ac:dyDescent="0.25">
      <c r="A26" s="247"/>
      <c r="B26" s="259" t="s">
        <v>144</v>
      </c>
      <c r="C26" s="242">
        <v>8</v>
      </c>
    </row>
    <row r="27" spans="1:12" x14ac:dyDescent="0.25">
      <c r="A27" s="247"/>
      <c r="B27" s="259" t="s">
        <v>573</v>
      </c>
      <c r="C27" s="242">
        <v>27.5</v>
      </c>
    </row>
    <row r="28" spans="1:12" x14ac:dyDescent="0.25">
      <c r="A28" s="247"/>
      <c r="B28" s="259" t="s">
        <v>145</v>
      </c>
      <c r="C28" s="242">
        <f>C24-C25-C26-C27</f>
        <v>225.5</v>
      </c>
    </row>
    <row r="29" spans="1:12" x14ac:dyDescent="0.25">
      <c r="A29" s="247"/>
      <c r="B29" s="259" t="s">
        <v>146</v>
      </c>
      <c r="C29" s="243">
        <f>C28/5</f>
        <v>45.1</v>
      </c>
    </row>
    <row r="30" spans="1:12" ht="15.75" thickBot="1" x14ac:dyDescent="0.3">
      <c r="B30" s="261" t="s">
        <v>454</v>
      </c>
      <c r="C30" s="280" t="e">
        <f>Summary!#REF!*Summary!#REF!*Summary!#REF!</f>
        <v>#REF!</v>
      </c>
    </row>
    <row r="31" spans="1:12" ht="15.75" thickBot="1" x14ac:dyDescent="0.3"/>
    <row r="32" spans="1:12" ht="15.75" thickBot="1" x14ac:dyDescent="0.3">
      <c r="B32" s="354" t="s">
        <v>505</v>
      </c>
      <c r="C32" s="355"/>
      <c r="D32" s="355"/>
      <c r="E32" s="355"/>
      <c r="F32" s="355"/>
      <c r="G32" s="355"/>
      <c r="H32" s="355"/>
      <c r="I32" s="355"/>
      <c r="J32" s="355"/>
      <c r="K32" s="355"/>
      <c r="L32" s="356"/>
    </row>
    <row r="33" spans="1:12" ht="30.75" thickBot="1" x14ac:dyDescent="0.3">
      <c r="B33" s="264"/>
      <c r="C33" s="232" t="s">
        <v>240</v>
      </c>
      <c r="D33" s="232" t="s">
        <v>241</v>
      </c>
      <c r="E33" s="396" t="s">
        <v>574</v>
      </c>
      <c r="F33" s="232" t="s">
        <v>381</v>
      </c>
      <c r="G33" s="232" t="s">
        <v>380</v>
      </c>
      <c r="H33" s="232" t="s">
        <v>242</v>
      </c>
      <c r="I33" s="232" t="s">
        <v>243</v>
      </c>
      <c r="J33" s="232" t="s">
        <v>29</v>
      </c>
      <c r="K33" s="244" t="s">
        <v>22</v>
      </c>
      <c r="L33" s="245" t="s">
        <v>245</v>
      </c>
    </row>
    <row r="34" spans="1:12" x14ac:dyDescent="0.25">
      <c r="B34" s="267" t="s">
        <v>139</v>
      </c>
      <c r="C34" s="268">
        <v>0.85</v>
      </c>
      <c r="D34" s="249">
        <v>0.85</v>
      </c>
      <c r="E34" s="249">
        <v>0.3</v>
      </c>
      <c r="F34" s="249">
        <v>0.85</v>
      </c>
      <c r="G34" s="249">
        <v>0.47</v>
      </c>
      <c r="H34" s="249"/>
      <c r="I34" s="249">
        <v>0.65</v>
      </c>
      <c r="J34" s="249">
        <v>0.41</v>
      </c>
      <c r="K34" s="269">
        <v>0.12</v>
      </c>
      <c r="L34" s="270">
        <f>SUM(C34:K34)</f>
        <v>4.5</v>
      </c>
    </row>
    <row r="35" spans="1:12" x14ac:dyDescent="0.25">
      <c r="B35" s="271" t="s">
        <v>571</v>
      </c>
      <c r="C35" s="272"/>
      <c r="D35" s="251"/>
      <c r="E35" s="251"/>
      <c r="F35" s="251"/>
      <c r="G35" s="251"/>
      <c r="H35" s="251"/>
      <c r="I35" s="251">
        <v>0.5</v>
      </c>
      <c r="J35" s="251">
        <v>0.5</v>
      </c>
      <c r="K35" s="273"/>
      <c r="L35" s="274">
        <f t="shared" ref="L35:L38" si="3">SUM(C35:K35)</f>
        <v>1</v>
      </c>
    </row>
    <row r="36" spans="1:12" x14ac:dyDescent="0.25">
      <c r="B36" s="271" t="s">
        <v>452</v>
      </c>
      <c r="C36" s="272"/>
      <c r="D36" s="251"/>
      <c r="E36" s="251"/>
      <c r="F36" s="251"/>
      <c r="G36" s="251"/>
      <c r="H36" s="251">
        <v>0.85</v>
      </c>
      <c r="I36" s="251"/>
      <c r="J36" s="251">
        <v>0.05</v>
      </c>
      <c r="K36" s="273">
        <v>0.1</v>
      </c>
      <c r="L36" s="274">
        <f t="shared" si="3"/>
        <v>1</v>
      </c>
    </row>
    <row r="37" spans="1:12" x14ac:dyDescent="0.25">
      <c r="B37" s="271" t="s">
        <v>222</v>
      </c>
      <c r="C37" s="272"/>
      <c r="D37" s="251"/>
      <c r="E37" s="251"/>
      <c r="F37" s="251"/>
      <c r="G37" s="251"/>
      <c r="H37" s="251"/>
      <c r="I37" s="251">
        <v>0.35</v>
      </c>
      <c r="J37" s="251">
        <v>0.15</v>
      </c>
      <c r="K37" s="273">
        <v>0.1</v>
      </c>
      <c r="L37" s="274">
        <f t="shared" si="3"/>
        <v>0.6</v>
      </c>
    </row>
    <row r="38" spans="1:12" x14ac:dyDescent="0.25">
      <c r="B38" s="271" t="s">
        <v>506</v>
      </c>
      <c r="C38" s="272" t="e">
        <f t="shared" ref="C38:K38" si="4">$C$30*SUM(C34:C37)</f>
        <v>#REF!</v>
      </c>
      <c r="D38" s="251" t="e">
        <f t="shared" si="4"/>
        <v>#REF!</v>
      </c>
      <c r="E38" s="251" t="e">
        <f t="shared" si="4"/>
        <v>#REF!</v>
      </c>
      <c r="F38" s="251" t="e">
        <f t="shared" si="4"/>
        <v>#REF!</v>
      </c>
      <c r="G38" s="251" t="e">
        <f t="shared" si="4"/>
        <v>#REF!</v>
      </c>
      <c r="H38" s="251" t="e">
        <f t="shared" si="4"/>
        <v>#REF!</v>
      </c>
      <c r="I38" s="251" t="e">
        <f t="shared" si="4"/>
        <v>#REF!</v>
      </c>
      <c r="J38" s="251" t="e">
        <f t="shared" si="4"/>
        <v>#REF!</v>
      </c>
      <c r="K38" s="273" t="e">
        <f t="shared" si="4"/>
        <v>#REF!</v>
      </c>
      <c r="L38" s="274" t="e">
        <f t="shared" si="3"/>
        <v>#REF!</v>
      </c>
    </row>
    <row r="39" spans="1:12" x14ac:dyDescent="0.25">
      <c r="B39" s="271" t="s">
        <v>507</v>
      </c>
      <c r="C39" s="272" t="e">
        <f>Summary!#REF!*Summary!#REF!*Summary!#REF!</f>
        <v>#REF!</v>
      </c>
      <c r="D39" s="251" t="e">
        <f>Summary!#REF!*Summary!#REF!*Summary!#REF!</f>
        <v>#REF!</v>
      </c>
      <c r="E39" s="251" t="e">
        <f>Summary!N23*Summary!#REF!*Summary!#REF!</f>
        <v>#REF!</v>
      </c>
      <c r="F39" s="251" t="e">
        <f>Summary!#REF!*Summary!#REF!*Summary!#REF!</f>
        <v>#REF!</v>
      </c>
      <c r="G39" s="251" t="e">
        <f>Summary!N48*Summary!#REF!*Summary!#REF!</f>
        <v>#REF!</v>
      </c>
      <c r="H39" s="251" t="e">
        <f>Summary!#REF!*Summary!#REF!*Summary!#REF!</f>
        <v>#REF!</v>
      </c>
      <c r="I39" s="251" t="e">
        <f>0.5*C39*2+0.9*E39</f>
        <v>#REF!</v>
      </c>
      <c r="J39" s="251" t="e">
        <f>2*0.4*C39+E39*0.6</f>
        <v>#REF!</v>
      </c>
      <c r="K39" s="273" t="e">
        <f>0.06*Summary!#REF!*Summary!#REF!*5</f>
        <v>#REF!</v>
      </c>
      <c r="L39" s="274" t="e">
        <f>SUM(C39:K39)-E39+E40</f>
        <v>#REF!</v>
      </c>
    </row>
    <row r="40" spans="1:12" ht="15.75" thickBot="1" x14ac:dyDescent="0.3">
      <c r="B40" s="275"/>
      <c r="C40" s="276"/>
      <c r="D40" s="277"/>
      <c r="E40" s="277"/>
      <c r="F40" s="277"/>
      <c r="G40" s="277"/>
      <c r="H40" s="277"/>
      <c r="I40" s="277"/>
      <c r="J40" s="277"/>
      <c r="K40" s="278"/>
      <c r="L40" s="279"/>
    </row>
    <row r="41" spans="1:12" ht="15.75" thickBot="1" x14ac:dyDescent="0.3"/>
    <row r="42" spans="1:12" ht="15.75" thickBot="1" x14ac:dyDescent="0.3">
      <c r="B42" s="342" t="s">
        <v>504</v>
      </c>
      <c r="C42" s="343"/>
    </row>
    <row r="43" spans="1:12" ht="15.75" thickBot="1" x14ac:dyDescent="0.3">
      <c r="B43" s="265" t="s">
        <v>248</v>
      </c>
      <c r="C43" s="266" t="e">
        <f>SUMPRODUCT(#REF!*K34:K37)</f>
        <v>#REF!</v>
      </c>
    </row>
    <row r="45" spans="1:12" x14ac:dyDescent="0.25">
      <c r="A45" s="246"/>
      <c r="C45" s="240"/>
    </row>
    <row r="46" spans="1:12" x14ac:dyDescent="0.25">
      <c r="A46" s="246"/>
    </row>
    <row r="47" spans="1:12" x14ac:dyDescent="0.25">
      <c r="A47" s="246"/>
    </row>
    <row r="48" spans="1:12" x14ac:dyDescent="0.25">
      <c r="A48" s="246"/>
    </row>
    <row r="49" spans="1:1" x14ac:dyDescent="0.25">
      <c r="A49" s="246"/>
    </row>
  </sheetData>
  <mergeCells count="15">
    <mergeCell ref="B2:F2"/>
    <mergeCell ref="B13:H13"/>
    <mergeCell ref="C3:F3"/>
    <mergeCell ref="C4:F4"/>
    <mergeCell ref="C5:F5"/>
    <mergeCell ref="C6:F6"/>
    <mergeCell ref="C10:F10"/>
    <mergeCell ref="C11:F11"/>
    <mergeCell ref="B42:C42"/>
    <mergeCell ref="C7:F7"/>
    <mergeCell ref="C9:F9"/>
    <mergeCell ref="B7:B9"/>
    <mergeCell ref="C8:F8"/>
    <mergeCell ref="B22:C22"/>
    <mergeCell ref="B32:L32"/>
  </mergeCells>
  <hyperlinks>
    <hyperlink ref="C4" r:id="rId1" xr:uid="{00000000-0004-0000-0100-000000000000}"/>
    <hyperlink ref="C5" r:id="rId2" xr:uid="{57BD7899-887D-43DC-B562-ADBB9658383C}"/>
    <hyperlink ref="C11" r:id="rId3" xr:uid="{8217434D-7C07-4E8C-BA90-49CA24347AAE}"/>
    <hyperlink ref="C6" r:id="rId4" xr:uid="{5A1E2311-D9D5-4C0B-BC94-4A8AC4615E00}"/>
    <hyperlink ref="C7" r:id="rId5" xr:uid="{1D2CF1E1-09DF-41BB-B05B-1C792AB04F99}"/>
    <hyperlink ref="C9" r:id="rId6" xr:uid="{9E20021D-FD15-4A3A-8A4B-7AD6FC3F26D6}"/>
    <hyperlink ref="C8" r:id="rId7" xr:uid="{AEF21A58-9BF6-4ACF-A485-1D6413944317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H24"/>
  <sheetViews>
    <sheetView zoomScale="101" workbookViewId="0">
      <selection activeCell="C13" sqref="C13"/>
    </sheetView>
  </sheetViews>
  <sheetFormatPr baseColWidth="10" defaultRowHeight="15" x14ac:dyDescent="0.25"/>
  <cols>
    <col min="1" max="1" width="28.28515625" style="144" bestFit="1" customWidth="1"/>
    <col min="2" max="2" width="7.42578125" style="144" bestFit="1" customWidth="1"/>
    <col min="3" max="3" width="7.7109375" style="144" bestFit="1" customWidth="1"/>
    <col min="4" max="4" width="78.7109375" style="144" customWidth="1"/>
    <col min="5" max="5" width="17.5703125" style="144" bestFit="1" customWidth="1"/>
    <col min="6" max="16384" width="11.42578125" style="144"/>
  </cols>
  <sheetData>
    <row r="1" spans="1:8" ht="15.75" thickBot="1" x14ac:dyDescent="0.3">
      <c r="A1" s="373" t="s">
        <v>19</v>
      </c>
      <c r="B1" s="374"/>
      <c r="C1" s="374"/>
      <c r="D1" s="375"/>
    </row>
    <row r="2" spans="1:8" x14ac:dyDescent="0.25">
      <c r="A2" s="379" t="s">
        <v>511</v>
      </c>
      <c r="B2" s="385" t="s">
        <v>147</v>
      </c>
      <c r="C2" s="371"/>
      <c r="D2" s="386"/>
    </row>
    <row r="3" spans="1:8" x14ac:dyDescent="0.25">
      <c r="A3" s="380"/>
      <c r="B3" s="387" t="s">
        <v>255</v>
      </c>
      <c r="C3" s="367"/>
      <c r="D3" s="382"/>
    </row>
    <row r="4" spans="1:8" ht="50.25" customHeight="1" x14ac:dyDescent="0.25">
      <c r="A4" s="380"/>
      <c r="B4" s="387" t="s">
        <v>256</v>
      </c>
      <c r="C4" s="367"/>
      <c r="D4" s="382"/>
    </row>
    <row r="5" spans="1:8" x14ac:dyDescent="0.25">
      <c r="A5" s="145" t="s">
        <v>514</v>
      </c>
      <c r="B5" s="381">
        <v>38.64</v>
      </c>
      <c r="C5" s="367"/>
      <c r="D5" s="382"/>
    </row>
    <row r="6" spans="1:8" x14ac:dyDescent="0.25">
      <c r="A6" s="145" t="s">
        <v>512</v>
      </c>
      <c r="B6" s="381">
        <f>(24*2 + 7.5)*0.8+16+14</f>
        <v>74.400000000000006</v>
      </c>
      <c r="C6" s="367"/>
      <c r="D6" s="382"/>
    </row>
    <row r="7" spans="1:8" x14ac:dyDescent="0.25">
      <c r="A7" s="145" t="s">
        <v>513</v>
      </c>
      <c r="B7" s="381">
        <f>B6*B5</f>
        <v>2874.8160000000003</v>
      </c>
      <c r="C7" s="367"/>
      <c r="D7" s="382"/>
    </row>
    <row r="8" spans="1:8" ht="15.75" thickBot="1" x14ac:dyDescent="0.3">
      <c r="A8" s="146" t="s">
        <v>515</v>
      </c>
      <c r="B8" s="383">
        <v>7.8299999999999995E-2</v>
      </c>
      <c r="C8" s="368"/>
      <c r="D8" s="384"/>
    </row>
    <row r="9" spans="1:8" ht="15.75" thickBot="1" x14ac:dyDescent="0.3"/>
    <row r="10" spans="1:8" ht="15.75" thickBot="1" x14ac:dyDescent="0.3">
      <c r="A10" s="376" t="s">
        <v>510</v>
      </c>
      <c r="B10" s="377"/>
      <c r="C10" s="377"/>
      <c r="D10" s="378"/>
    </row>
    <row r="11" spans="1:8" x14ac:dyDescent="0.25">
      <c r="A11" s="147"/>
      <c r="B11" s="148" t="s">
        <v>508</v>
      </c>
      <c r="C11" s="148" t="s">
        <v>509</v>
      </c>
      <c r="D11" s="149" t="s">
        <v>198</v>
      </c>
    </row>
    <row r="12" spans="1:8" ht="18" thickBot="1" x14ac:dyDescent="0.3">
      <c r="A12" s="150" t="s">
        <v>516</v>
      </c>
      <c r="B12" s="151">
        <v>2.77</v>
      </c>
      <c r="C12" s="151">
        <f>B12*(1-Summary!D17)</f>
        <v>2.2160000000000002</v>
      </c>
      <c r="D12" s="123" t="s">
        <v>395</v>
      </c>
    </row>
    <row r="16" spans="1:8" ht="15.75" thickBot="1" x14ac:dyDescent="0.3">
      <c r="H16" s="152"/>
    </row>
    <row r="17" spans="1:5" ht="15.75" thickBot="1" x14ac:dyDescent="0.3">
      <c r="A17" s="373" t="s">
        <v>553</v>
      </c>
      <c r="B17" s="374"/>
      <c r="C17" s="374"/>
      <c r="D17" s="374"/>
      <c r="E17" s="375"/>
    </row>
    <row r="18" spans="1:5" ht="15.75" thickBot="1" x14ac:dyDescent="0.3">
      <c r="A18" s="158" t="s">
        <v>555</v>
      </c>
      <c r="B18" s="369" t="s">
        <v>556</v>
      </c>
      <c r="C18" s="369"/>
      <c r="D18" s="369"/>
      <c r="E18" s="159" t="s">
        <v>557</v>
      </c>
    </row>
    <row r="19" spans="1:5" x14ac:dyDescent="0.25">
      <c r="A19" s="157" t="s">
        <v>554</v>
      </c>
      <c r="B19" s="370"/>
      <c r="C19" s="371"/>
      <c r="D19" s="371"/>
      <c r="E19" s="149"/>
    </row>
    <row r="20" spans="1:5" x14ac:dyDescent="0.25">
      <c r="A20" s="153"/>
      <c r="B20" s="372"/>
      <c r="C20" s="367"/>
      <c r="D20" s="367"/>
      <c r="E20" s="121"/>
    </row>
    <row r="21" spans="1:5" x14ac:dyDescent="0.25">
      <c r="A21" s="154"/>
      <c r="B21" s="367"/>
      <c r="C21" s="367"/>
      <c r="D21" s="367"/>
      <c r="E21" s="121"/>
    </row>
    <row r="22" spans="1:5" x14ac:dyDescent="0.25">
      <c r="A22" s="154"/>
      <c r="B22" s="367"/>
      <c r="C22" s="367"/>
      <c r="D22" s="367"/>
      <c r="E22" s="121"/>
    </row>
    <row r="23" spans="1:5" x14ac:dyDescent="0.25">
      <c r="A23" s="154"/>
      <c r="B23" s="367"/>
      <c r="C23" s="367"/>
      <c r="D23" s="367"/>
      <c r="E23" s="121"/>
    </row>
    <row r="24" spans="1:5" ht="15.75" thickBot="1" x14ac:dyDescent="0.3">
      <c r="A24" s="155"/>
      <c r="B24" s="368"/>
      <c r="C24" s="368"/>
      <c r="D24" s="368"/>
      <c r="E24" s="156"/>
    </row>
  </sheetData>
  <mergeCells count="18">
    <mergeCell ref="A17:E17"/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  <mergeCell ref="B21:D21"/>
    <mergeCell ref="B22:D22"/>
    <mergeCell ref="B23:D23"/>
    <mergeCell ref="B24:D24"/>
    <mergeCell ref="B18:D18"/>
    <mergeCell ref="B19:D19"/>
    <mergeCell ref="B20:D20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  <hyperlink ref="B18" r:id="rId5" display="https://www.kelwatt.fr/guide/prix-electricite-entreprise" xr:uid="{57DB309D-328C-43E2-958B-06E6A519B593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workbookViewId="0">
      <selection activeCell="A24" sqref="A24"/>
    </sheetView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09" t="s">
        <v>25</v>
      </c>
      <c r="B1" s="116" t="s">
        <v>186</v>
      </c>
      <c r="C1" s="105" t="s">
        <v>518</v>
      </c>
      <c r="D1" s="105" t="s">
        <v>517</v>
      </c>
      <c r="E1" s="105" t="s">
        <v>519</v>
      </c>
      <c r="F1" s="98" t="s">
        <v>198</v>
      </c>
    </row>
    <row r="2" spans="1:6" ht="30" x14ac:dyDescent="0.25">
      <c r="A2" s="117" t="s">
        <v>111</v>
      </c>
      <c r="B2" s="108" t="s">
        <v>107</v>
      </c>
      <c r="C2" s="100"/>
      <c r="D2" s="113">
        <v>149</v>
      </c>
      <c r="E2" s="114" t="e">
        <f>D2*(1-Summary!#REF!)</f>
        <v>#REF!</v>
      </c>
      <c r="F2" s="120" t="s">
        <v>106</v>
      </c>
    </row>
    <row r="3" spans="1:6" ht="30" x14ac:dyDescent="0.25">
      <c r="A3" s="118" t="s">
        <v>109</v>
      </c>
      <c r="B3" s="45">
        <v>0.01</v>
      </c>
      <c r="C3" s="12"/>
      <c r="D3" s="110">
        <v>129</v>
      </c>
      <c r="E3" s="35" t="e">
        <f>D3*(1-Summary!#REF!)</f>
        <v>#REF!</v>
      </c>
      <c r="F3" s="122" t="s">
        <v>108</v>
      </c>
    </row>
    <row r="4" spans="1:6" ht="30" x14ac:dyDescent="0.25">
      <c r="A4" s="118" t="s">
        <v>31</v>
      </c>
      <c r="B4" s="45">
        <v>0.01</v>
      </c>
      <c r="C4" s="12"/>
      <c r="D4" s="110">
        <v>60</v>
      </c>
      <c r="E4" s="35" t="e">
        <f>D4*(1-Summary!#REF!)</f>
        <v>#REF!</v>
      </c>
      <c r="F4" s="122" t="s">
        <v>110</v>
      </c>
    </row>
    <row r="5" spans="1:6" x14ac:dyDescent="0.25">
      <c r="A5" s="118"/>
      <c r="B5" s="45"/>
      <c r="C5" s="12"/>
      <c r="D5" s="12"/>
      <c r="E5" s="35"/>
      <c r="F5" s="121"/>
    </row>
    <row r="6" spans="1:6" x14ac:dyDescent="0.25">
      <c r="A6" s="118" t="s">
        <v>113</v>
      </c>
      <c r="B6" s="45"/>
      <c r="C6" s="12"/>
      <c r="D6" s="110">
        <v>392</v>
      </c>
      <c r="E6" s="35" t="e">
        <f>D6*(1-Summary!#REF!)</f>
        <v>#REF!</v>
      </c>
      <c r="F6" s="122" t="s">
        <v>112</v>
      </c>
    </row>
    <row r="7" spans="1:6" ht="30" x14ac:dyDescent="0.25">
      <c r="A7" s="118" t="s">
        <v>117</v>
      </c>
      <c r="B7" s="45"/>
      <c r="C7" s="12"/>
      <c r="D7" s="110">
        <v>167</v>
      </c>
      <c r="E7" s="35" t="e">
        <f>D7*(1-Summary!#REF!)</f>
        <v>#REF!</v>
      </c>
      <c r="F7" s="122" t="s">
        <v>114</v>
      </c>
    </row>
    <row r="8" spans="1:6" ht="30" x14ac:dyDescent="0.25">
      <c r="A8" s="118" t="s">
        <v>116</v>
      </c>
      <c r="B8" s="45"/>
      <c r="C8" s="12"/>
      <c r="D8" s="110">
        <v>94</v>
      </c>
      <c r="E8" s="35" t="e">
        <f>D8*(1-Summary!#REF!)</f>
        <v>#REF!</v>
      </c>
      <c r="F8" s="122" t="s">
        <v>115</v>
      </c>
    </row>
    <row r="9" spans="1:6" x14ac:dyDescent="0.25">
      <c r="A9" s="118"/>
      <c r="B9" s="45"/>
      <c r="C9" s="12"/>
      <c r="D9" s="12"/>
      <c r="E9" s="35"/>
      <c r="F9" s="121"/>
    </row>
    <row r="10" spans="1:6" ht="30" x14ac:dyDescent="0.25">
      <c r="A10" s="118" t="s">
        <v>118</v>
      </c>
      <c r="B10" s="45"/>
      <c r="C10" s="12"/>
      <c r="D10" s="110">
        <v>282</v>
      </c>
      <c r="E10" s="35" t="e">
        <f>D10*(1-Summary!#REF!)</f>
        <v>#REF!</v>
      </c>
      <c r="F10" s="122" t="s">
        <v>119</v>
      </c>
    </row>
    <row r="11" spans="1:6" x14ac:dyDescent="0.25">
      <c r="A11" s="118" t="s">
        <v>121</v>
      </c>
      <c r="B11" s="45"/>
      <c r="C11" s="12"/>
      <c r="D11" s="110">
        <v>408</v>
      </c>
      <c r="E11" s="35" t="e">
        <f>D11*(1-Summary!#REF!)</f>
        <v>#REF!</v>
      </c>
      <c r="F11" s="121"/>
    </row>
    <row r="12" spans="1:6" ht="30" x14ac:dyDescent="0.25">
      <c r="A12" s="118" t="s">
        <v>122</v>
      </c>
      <c r="B12" s="45"/>
      <c r="C12" s="12"/>
      <c r="D12" s="110">
        <v>3322</v>
      </c>
      <c r="E12" s="35" t="e">
        <f>D12*(1-Summary!#REF!)</f>
        <v>#REF!</v>
      </c>
      <c r="F12" s="122" t="s">
        <v>120</v>
      </c>
    </row>
    <row r="13" spans="1:6" x14ac:dyDescent="0.25">
      <c r="A13" s="118"/>
      <c r="B13" s="45"/>
      <c r="C13" s="12"/>
      <c r="D13" s="12"/>
      <c r="E13" s="35"/>
      <c r="F13" s="121"/>
    </row>
    <row r="14" spans="1:6" ht="30" x14ac:dyDescent="0.25">
      <c r="A14" s="388" t="s">
        <v>123</v>
      </c>
      <c r="B14" s="45" t="s">
        <v>124</v>
      </c>
      <c r="C14" s="12"/>
      <c r="D14" s="110">
        <v>1390</v>
      </c>
      <c r="E14" s="35" t="e">
        <f>D14*(1-Summary!#REF!)</f>
        <v>#REF!</v>
      </c>
      <c r="F14" s="122" t="s">
        <v>125</v>
      </c>
    </row>
    <row r="15" spans="1:6" ht="30" x14ac:dyDescent="0.25">
      <c r="A15" s="389"/>
      <c r="B15" s="45" t="s">
        <v>127</v>
      </c>
      <c r="C15" s="12"/>
      <c r="D15" s="110">
        <v>1202</v>
      </c>
      <c r="E15" s="35" t="e">
        <f>D15*(1-Summary!#REF!)</f>
        <v>#REF!</v>
      </c>
      <c r="F15" s="122" t="s">
        <v>126</v>
      </c>
    </row>
    <row r="16" spans="1:6" ht="30" x14ac:dyDescent="0.25">
      <c r="A16" s="389"/>
      <c r="B16" s="45" t="s">
        <v>129</v>
      </c>
      <c r="C16" s="12"/>
      <c r="D16" s="110">
        <v>146</v>
      </c>
      <c r="E16" s="35" t="e">
        <f>D16*(1-Summary!#REF!)</f>
        <v>#REF!</v>
      </c>
      <c r="F16" s="122" t="s">
        <v>128</v>
      </c>
    </row>
    <row r="17" spans="1:6" ht="30" x14ac:dyDescent="0.25">
      <c r="A17" s="390"/>
      <c r="B17" s="45" t="s">
        <v>131</v>
      </c>
      <c r="C17" s="12"/>
      <c r="D17" s="110">
        <v>162</v>
      </c>
      <c r="E17" s="35" t="e">
        <f>D17*(1-Summary!#REF!)</f>
        <v>#REF!</v>
      </c>
      <c r="F17" s="122" t="s">
        <v>130</v>
      </c>
    </row>
    <row r="18" spans="1:6" ht="30" x14ac:dyDescent="0.25">
      <c r="A18" s="388" t="s">
        <v>30</v>
      </c>
      <c r="B18" s="45" t="s">
        <v>133</v>
      </c>
      <c r="C18" s="12"/>
      <c r="D18" s="110">
        <v>1623</v>
      </c>
      <c r="E18" s="35" t="e">
        <f>D18*(1-Summary!#REF!)</f>
        <v>#REF!</v>
      </c>
      <c r="F18" s="122" t="s">
        <v>132</v>
      </c>
    </row>
    <row r="19" spans="1:6" ht="30" x14ac:dyDescent="0.25">
      <c r="A19" s="390"/>
      <c r="B19" s="112" t="s">
        <v>189</v>
      </c>
      <c r="C19" s="12"/>
      <c r="D19" s="110">
        <v>675</v>
      </c>
      <c r="E19" s="35" t="e">
        <f>D19*(1-Summary!#REF!)</f>
        <v>#REF!</v>
      </c>
      <c r="F19" s="122" t="s">
        <v>190</v>
      </c>
    </row>
    <row r="20" spans="1:6" x14ac:dyDescent="0.25">
      <c r="A20" s="118"/>
      <c r="B20" s="112"/>
      <c r="C20" s="12"/>
      <c r="D20" s="12"/>
      <c r="E20" s="35"/>
      <c r="F20" s="121"/>
    </row>
    <row r="21" spans="1:6" x14ac:dyDescent="0.25">
      <c r="A21" s="118" t="s">
        <v>134</v>
      </c>
      <c r="B21" s="45" t="s">
        <v>136</v>
      </c>
      <c r="C21" s="111">
        <v>348</v>
      </c>
      <c r="D21" s="26" t="e">
        <f>Metrology!C21/(Summary!#REF!)</f>
        <v>#REF!</v>
      </c>
      <c r="E21" s="35" t="e">
        <f>D21*(1-Summary!#REF!)</f>
        <v>#REF!</v>
      </c>
      <c r="F21" s="122" t="s">
        <v>135</v>
      </c>
    </row>
    <row r="22" spans="1:6" x14ac:dyDescent="0.25">
      <c r="A22" s="118"/>
      <c r="B22" s="45"/>
      <c r="C22" s="12"/>
      <c r="D22" s="12"/>
      <c r="E22" s="12"/>
      <c r="F22" s="121"/>
    </row>
    <row r="23" spans="1:6" x14ac:dyDescent="0.25">
      <c r="A23" s="118" t="s">
        <v>226</v>
      </c>
      <c r="B23" s="45" t="s">
        <v>227</v>
      </c>
      <c r="C23" s="12"/>
      <c r="D23" s="12"/>
      <c r="E23" s="13">
        <v>48334.81</v>
      </c>
      <c r="F23" s="122" t="s">
        <v>225</v>
      </c>
    </row>
    <row r="24" spans="1:6" x14ac:dyDescent="0.25">
      <c r="A24" s="118"/>
      <c r="B24" s="45"/>
      <c r="C24" s="12"/>
      <c r="D24" s="12"/>
      <c r="E24" s="12"/>
      <c r="F24" s="121"/>
    </row>
    <row r="25" spans="1:6" ht="15.75" thickBot="1" x14ac:dyDescent="0.3">
      <c r="A25" s="119" t="s">
        <v>229</v>
      </c>
      <c r="B25" s="46" t="s">
        <v>230</v>
      </c>
      <c r="C25" s="28"/>
      <c r="D25" s="28"/>
      <c r="E25" s="88">
        <v>5390</v>
      </c>
      <c r="F25" s="123" t="s">
        <v>228</v>
      </c>
    </row>
  </sheetData>
  <mergeCells count="2">
    <mergeCell ref="A14:A17"/>
    <mergeCell ref="A18:A19"/>
  </mergeCells>
  <hyperlinks>
    <hyperlink ref="F2" r:id="rId1" xr:uid="{00000000-0004-0000-0300-000000000000}"/>
    <hyperlink ref="F21" r:id="rId2" xr:uid="{00000000-0004-0000-0300-000001000000}"/>
    <hyperlink ref="F18" r:id="rId3" xr:uid="{00000000-0004-0000-0300-000002000000}"/>
    <hyperlink ref="F3" r:id="rId4" xr:uid="{17C91CA5-122D-487F-B62C-3980991E1934}"/>
    <hyperlink ref="F4" r:id="rId5" xr:uid="{C2A869EE-2F96-4614-925F-6CA4B371DB72}"/>
    <hyperlink ref="F6" r:id="rId6" xr:uid="{2B39F322-D70F-4855-8356-26E4DE299B5B}"/>
    <hyperlink ref="F7" r:id="rId7" xr:uid="{D0EBC0A2-C619-4A15-A1EE-1433C247088A}"/>
    <hyperlink ref="F8" r:id="rId8" xr:uid="{C6FB60E2-B3C6-4A1E-8DBC-B38B896D44BB}"/>
    <hyperlink ref="F10" r:id="rId9" xr:uid="{5DAA328B-CED5-4D1C-A543-4FCD716CB537}"/>
    <hyperlink ref="F12" r:id="rId10" xr:uid="{4E3EA835-01DE-44C2-81B1-6DEF49D48D22}"/>
    <hyperlink ref="F14" r:id="rId11" xr:uid="{D44C1749-D817-49A8-8100-38DA8F13BDCD}"/>
    <hyperlink ref="F15" r:id="rId12" xr:uid="{CE0DD8F6-C1D9-4C8E-824D-E9DF24ED93BE}"/>
    <hyperlink ref="F16" r:id="rId13" xr:uid="{83E64948-1BB5-4525-9713-79B9118F8959}"/>
    <hyperlink ref="F17" r:id="rId14" xr:uid="{A4A03384-7F4F-4E1D-B7EE-350C37081037}"/>
    <hyperlink ref="F19" r:id="rId15" xr:uid="{F25F3AA7-1A18-4D78-B3C2-7671C1A0AECE}"/>
    <hyperlink ref="F23" r:id="rId16" xr:uid="{FC2F4028-1D2B-4007-A317-C665F746A5E7}"/>
    <hyperlink ref="F25" r:id="rId17" xr:uid="{69B85A02-22FB-402F-8A33-F82B1CD531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>
      <selection activeCell="E1" sqref="E1"/>
    </sheetView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97" t="s">
        <v>520</v>
      </c>
      <c r="B1" s="103" t="s">
        <v>16</v>
      </c>
      <c r="C1" s="103" t="s">
        <v>174</v>
      </c>
      <c r="D1" s="103" t="s">
        <v>508</v>
      </c>
      <c r="E1" s="103" t="s">
        <v>509</v>
      </c>
      <c r="F1" s="104" t="s">
        <v>198</v>
      </c>
    </row>
    <row r="2" spans="1:6" ht="15.75" thickBot="1" x14ac:dyDescent="0.3">
      <c r="A2" s="124"/>
      <c r="B2" s="125"/>
      <c r="C2" s="125"/>
      <c r="D2" s="125"/>
      <c r="E2" s="125"/>
      <c r="F2" s="125"/>
    </row>
    <row r="3" spans="1:6" x14ac:dyDescent="0.25">
      <c r="A3" s="391" t="s">
        <v>521</v>
      </c>
      <c r="B3" s="44" t="s">
        <v>90</v>
      </c>
      <c r="C3" s="27" t="s">
        <v>175</v>
      </c>
      <c r="D3" s="82">
        <v>498</v>
      </c>
      <c r="E3" s="82" t="e">
        <f>D3*(1-Summary!#REF!)</f>
        <v>#REF!</v>
      </c>
      <c r="F3" s="106" t="s">
        <v>91</v>
      </c>
    </row>
    <row r="4" spans="1:6" ht="15.75" thickBot="1" x14ac:dyDescent="0.3">
      <c r="A4" s="392"/>
      <c r="B4" s="46" t="s">
        <v>92</v>
      </c>
      <c r="C4" s="28" t="s">
        <v>176</v>
      </c>
      <c r="D4" s="88"/>
      <c r="E4" s="88">
        <v>8.8000000000000007</v>
      </c>
      <c r="F4" s="94" t="s">
        <v>170</v>
      </c>
    </row>
    <row r="5" spans="1:6" ht="15.75" thickBot="1" x14ac:dyDescent="0.3">
      <c r="A5" s="107"/>
      <c r="D5" s="2"/>
      <c r="E5" s="2"/>
    </row>
    <row r="6" spans="1:6" x14ac:dyDescent="0.25">
      <c r="A6" s="391" t="s">
        <v>522</v>
      </c>
      <c r="B6" s="44" t="s">
        <v>150</v>
      </c>
      <c r="C6" s="27"/>
      <c r="D6" s="82">
        <v>241.2</v>
      </c>
      <c r="E6" s="82" t="e">
        <f>D6*(1-Summary!#REF!)</f>
        <v>#REF!</v>
      </c>
      <c r="F6" s="106" t="s">
        <v>151</v>
      </c>
    </row>
    <row r="7" spans="1:6" x14ac:dyDescent="0.25">
      <c r="A7" s="393"/>
      <c r="B7" s="45" t="s">
        <v>156</v>
      </c>
      <c r="C7" s="12"/>
      <c r="D7" s="13">
        <v>50</v>
      </c>
      <c r="E7" s="13" t="e">
        <f>D7*(1-Summary!#REF!)</f>
        <v>#REF!</v>
      </c>
      <c r="F7" s="92" t="s">
        <v>157</v>
      </c>
    </row>
    <row r="8" spans="1:6" x14ac:dyDescent="0.25">
      <c r="A8" s="393"/>
      <c r="B8" s="45" t="s">
        <v>159</v>
      </c>
      <c r="C8" s="12"/>
      <c r="D8" s="13">
        <v>137.99</v>
      </c>
      <c r="E8" s="13" t="e">
        <f>D8*(1-Summary!#REF!)</f>
        <v>#REF!</v>
      </c>
      <c r="F8" s="92" t="s">
        <v>158</v>
      </c>
    </row>
    <row r="9" spans="1:6" x14ac:dyDescent="0.25">
      <c r="A9" s="393"/>
      <c r="B9" s="45" t="s">
        <v>179</v>
      </c>
      <c r="C9" s="12"/>
      <c r="D9" s="13"/>
      <c r="E9" s="13">
        <v>23.6</v>
      </c>
      <c r="F9" s="92" t="s">
        <v>180</v>
      </c>
    </row>
    <row r="10" spans="1:6" ht="15.75" thickBot="1" x14ac:dyDescent="0.3">
      <c r="A10" s="392"/>
      <c r="B10" s="46" t="s">
        <v>181</v>
      </c>
      <c r="C10" s="28"/>
      <c r="D10" s="88"/>
      <c r="E10" s="88">
        <v>39.950000000000003</v>
      </c>
      <c r="F10" s="94" t="s">
        <v>182</v>
      </c>
    </row>
    <row r="11" spans="1:6" ht="15.75" thickBot="1" x14ac:dyDescent="0.3">
      <c r="A11" s="107"/>
      <c r="D11" s="2"/>
      <c r="E11" s="2"/>
    </row>
    <row r="12" spans="1:6" x14ac:dyDescent="0.25">
      <c r="A12" s="391" t="s">
        <v>523</v>
      </c>
      <c r="B12" s="44" t="s">
        <v>160</v>
      </c>
      <c r="C12" s="27"/>
      <c r="D12" s="82">
        <v>2097.6</v>
      </c>
      <c r="E12" s="82" t="e">
        <f>D12*(1-Summary!#REF!)</f>
        <v>#REF!</v>
      </c>
      <c r="F12" s="106" t="s">
        <v>161</v>
      </c>
    </row>
    <row r="13" spans="1:6" x14ac:dyDescent="0.25">
      <c r="A13" s="393"/>
      <c r="B13" s="45" t="s">
        <v>153</v>
      </c>
      <c r="C13" s="12"/>
      <c r="D13" s="13">
        <v>2150.1</v>
      </c>
      <c r="E13" s="13" t="e">
        <f>D13*(1-Summary!#REF!)</f>
        <v>#REF!</v>
      </c>
      <c r="F13" s="92" t="s">
        <v>152</v>
      </c>
    </row>
    <row r="14" spans="1:6" ht="15.75" thickBot="1" x14ac:dyDescent="0.3">
      <c r="A14" s="392"/>
      <c r="B14" s="46" t="s">
        <v>168</v>
      </c>
      <c r="C14" s="28"/>
      <c r="D14" s="88">
        <v>620.4</v>
      </c>
      <c r="E14" s="88" t="e">
        <f>D14*(1-Summary!#REF!)</f>
        <v>#REF!</v>
      </c>
      <c r="F14" s="94" t="s">
        <v>169</v>
      </c>
    </row>
    <row r="15" spans="1:6" ht="15.75" thickBot="1" x14ac:dyDescent="0.3">
      <c r="A15" s="107"/>
      <c r="D15" s="2"/>
      <c r="E15" s="2"/>
    </row>
    <row r="16" spans="1:6" x14ac:dyDescent="0.25">
      <c r="A16" s="391" t="s">
        <v>524</v>
      </c>
      <c r="B16" s="44" t="s">
        <v>155</v>
      </c>
      <c r="C16" s="27"/>
      <c r="D16" s="82">
        <v>183.6</v>
      </c>
      <c r="E16" s="82" t="e">
        <f>D16*(1-Summary!#REF!)</f>
        <v>#REF!</v>
      </c>
      <c r="F16" s="106" t="s">
        <v>154</v>
      </c>
    </row>
    <row r="17" spans="1:6" x14ac:dyDescent="0.25">
      <c r="A17" s="393"/>
      <c r="B17" s="45" t="s">
        <v>163</v>
      </c>
      <c r="C17" s="12"/>
      <c r="D17" s="13">
        <v>54</v>
      </c>
      <c r="E17" s="13" t="e">
        <f>D17*(1-Summary!#REF!)</f>
        <v>#REF!</v>
      </c>
      <c r="F17" s="92" t="s">
        <v>162</v>
      </c>
    </row>
    <row r="18" spans="1:6" x14ac:dyDescent="0.25">
      <c r="A18" s="393"/>
      <c r="B18" s="45" t="s">
        <v>164</v>
      </c>
      <c r="C18" s="12"/>
      <c r="D18" s="13">
        <v>40.799999999999997</v>
      </c>
      <c r="E18" s="13" t="e">
        <f>D18*(1-Summary!#REF!)</f>
        <v>#REF!</v>
      </c>
      <c r="F18" s="92" t="s">
        <v>165</v>
      </c>
    </row>
    <row r="19" spans="1:6" ht="15.75" thickBot="1" x14ac:dyDescent="0.3">
      <c r="A19" s="392"/>
      <c r="B19" s="46" t="s">
        <v>166</v>
      </c>
      <c r="C19" s="28"/>
      <c r="D19" s="88">
        <v>217.2</v>
      </c>
      <c r="E19" s="88" t="e">
        <f>D19*(1-Summary!#REF!)</f>
        <v>#REF!</v>
      </c>
      <c r="F19" s="94" t="s">
        <v>167</v>
      </c>
    </row>
    <row r="20" spans="1:6" ht="15.75" thickBot="1" x14ac:dyDescent="0.3">
      <c r="A20" s="107"/>
    </row>
    <row r="21" spans="1:6" ht="15.75" thickBot="1" x14ac:dyDescent="0.3">
      <c r="A21" s="109" t="s">
        <v>525</v>
      </c>
      <c r="B21" s="115" t="s">
        <v>184</v>
      </c>
      <c r="C21" s="101" t="s">
        <v>183</v>
      </c>
      <c r="D21" s="101"/>
      <c r="E21" s="126">
        <v>102</v>
      </c>
      <c r="F21" s="102" t="s">
        <v>185</v>
      </c>
    </row>
    <row r="22" spans="1:6" ht="15.75" thickBot="1" x14ac:dyDescent="0.3">
      <c r="A22" s="107"/>
    </row>
    <row r="23" spans="1:6" x14ac:dyDescent="0.25">
      <c r="A23" s="391" t="s">
        <v>526</v>
      </c>
      <c r="B23" s="44" t="s">
        <v>267</v>
      </c>
      <c r="C23" s="27"/>
      <c r="D23" s="27"/>
      <c r="E23" s="82">
        <v>96</v>
      </c>
      <c r="F23" s="106" t="s">
        <v>266</v>
      </c>
    </row>
    <row r="24" spans="1:6" ht="15.75" thickBot="1" x14ac:dyDescent="0.3">
      <c r="A24" s="392"/>
      <c r="B24" s="46" t="s">
        <v>269</v>
      </c>
      <c r="C24" s="28"/>
      <c r="D24" s="28"/>
      <c r="E24" s="88">
        <v>285</v>
      </c>
      <c r="F24" s="94" t="s">
        <v>268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7" r:id="rId4" xr:uid="{FE8366DB-ECBE-4BB2-A101-8DFC60ED63B1}"/>
    <hyperlink ref="F8" r:id="rId5" xr:uid="{3A34D2B9-B400-4EBB-ADEA-B50DD16E9C6E}"/>
    <hyperlink ref="F9" r:id="rId6" xr:uid="{7230FFA8-873B-440D-AD71-C1A7ED419CA4}"/>
    <hyperlink ref="F10" r:id="rId7" xr:uid="{9E79F410-3DE5-41E1-AD83-DE8CA1BFCDEB}"/>
    <hyperlink ref="F12" r:id="rId8" xr:uid="{07C655F5-BAB6-4261-B193-0B6630DB43BC}"/>
    <hyperlink ref="F13" r:id="rId9" xr:uid="{B2D6165E-7A6E-4187-9770-841DD800B6D2}"/>
    <hyperlink ref="F14" r:id="rId10" xr:uid="{733AFC55-D6C6-48FF-B2CA-6749EDCE5942}"/>
    <hyperlink ref="F16" r:id="rId11" xr:uid="{F0891ACC-E316-49B1-86B7-7F7F9C09CF94}"/>
    <hyperlink ref="F17" r:id="rId12" xr:uid="{5C9D5D1C-C868-40FA-A5FF-35B918CAA5DB}"/>
    <hyperlink ref="F18" r:id="rId13" xr:uid="{8DFB83E8-5B50-4860-9758-230A5952BE6F}"/>
    <hyperlink ref="F19" r:id="rId14" xr:uid="{AE430928-5516-4D7D-97A4-4CA05BF478EF}"/>
    <hyperlink ref="F23" r:id="rId15" xr:uid="{82CA0279-6909-4488-90C8-2ED8DCD91CB3}"/>
    <hyperlink ref="F24" r:id="rId16" xr:uid="{913CA25F-1E06-451F-97A3-0A3263DD681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9" sqref="A9"/>
    </sheetView>
  </sheetViews>
  <sheetFormatPr baseColWidth="10" defaultRowHeight="15" x14ac:dyDescent="0.25"/>
  <cols>
    <col min="1" max="1" width="18.7109375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97" t="s">
        <v>16</v>
      </c>
      <c r="B1" s="105" t="s">
        <v>174</v>
      </c>
      <c r="C1" s="105" t="s">
        <v>527</v>
      </c>
      <c r="D1" s="105" t="s">
        <v>528</v>
      </c>
      <c r="E1" s="98" t="s">
        <v>274</v>
      </c>
    </row>
    <row r="2" spans="1:5" x14ac:dyDescent="0.25">
      <c r="A2" s="95" t="s">
        <v>276</v>
      </c>
      <c r="B2" s="100"/>
      <c r="C2" s="100"/>
      <c r="D2" s="99">
        <v>619</v>
      </c>
      <c r="E2" s="96" t="s">
        <v>275</v>
      </c>
    </row>
    <row r="3" spans="1:5" x14ac:dyDescent="0.25">
      <c r="A3" s="91" t="s">
        <v>277</v>
      </c>
      <c r="B3" s="12"/>
      <c r="C3" s="12"/>
      <c r="D3" s="13">
        <v>248</v>
      </c>
      <c r="E3" s="92" t="s">
        <v>275</v>
      </c>
    </row>
    <row r="4" spans="1:5" x14ac:dyDescent="0.25">
      <c r="A4" s="91" t="s">
        <v>535</v>
      </c>
      <c r="B4" s="12"/>
      <c r="C4" s="12"/>
      <c r="D4" s="13">
        <v>320</v>
      </c>
      <c r="E4" s="92" t="s">
        <v>275</v>
      </c>
    </row>
    <row r="5" spans="1:5" x14ac:dyDescent="0.25">
      <c r="A5" s="91" t="s">
        <v>536</v>
      </c>
      <c r="B5" s="12"/>
      <c r="C5" s="12"/>
      <c r="D5" s="13">
        <v>515</v>
      </c>
      <c r="E5" s="92" t="s">
        <v>275</v>
      </c>
    </row>
    <row r="6" spans="1:5" x14ac:dyDescent="0.25">
      <c r="A6" s="91" t="s">
        <v>278</v>
      </c>
      <c r="B6" s="12"/>
      <c r="C6" s="12"/>
      <c r="D6" s="13">
        <v>1125</v>
      </c>
      <c r="E6" s="92" t="s">
        <v>279</v>
      </c>
    </row>
    <row r="7" spans="1:5" x14ac:dyDescent="0.25">
      <c r="A7" s="91" t="s">
        <v>280</v>
      </c>
      <c r="B7" s="12"/>
      <c r="C7" s="12"/>
      <c r="D7" s="13">
        <v>1851</v>
      </c>
      <c r="E7" s="92" t="s">
        <v>281</v>
      </c>
    </row>
    <row r="8" spans="1:5" ht="15.75" thickBot="1" x14ac:dyDescent="0.3">
      <c r="A8" s="93" t="s">
        <v>282</v>
      </c>
      <c r="B8" s="28"/>
      <c r="C8" s="28"/>
      <c r="D8" s="88">
        <v>417</v>
      </c>
      <c r="E8" s="94" t="s">
        <v>283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7" r:id="rId6" xr:uid="{232DD4D1-2BDF-44BB-A0AD-09C68C94D24A}"/>
    <hyperlink ref="E8" r:id="rId7" xr:uid="{8009E3DA-8BF6-447C-9701-DAFA5C2BE4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>
      <selection activeCell="C29" sqref="C29"/>
    </sheetView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97" t="s">
        <v>28</v>
      </c>
      <c r="B1" s="105" t="s">
        <v>25</v>
      </c>
      <c r="C1" s="105" t="s">
        <v>215</v>
      </c>
      <c r="D1" s="105" t="s">
        <v>518</v>
      </c>
      <c r="E1" s="105" t="s">
        <v>529</v>
      </c>
      <c r="F1" s="105" t="s">
        <v>517</v>
      </c>
      <c r="G1" s="105" t="s">
        <v>519</v>
      </c>
      <c r="H1" s="98" t="s">
        <v>198</v>
      </c>
    </row>
    <row r="2" spans="1:8" ht="15.75" thickBot="1" x14ac:dyDescent="0.3"/>
    <row r="3" spans="1:8" x14ac:dyDescent="0.25">
      <c r="A3" s="391" t="s">
        <v>530</v>
      </c>
      <c r="B3" s="44" t="s">
        <v>80</v>
      </c>
      <c r="C3" s="27"/>
      <c r="D3" s="27"/>
      <c r="E3" s="127">
        <v>1295</v>
      </c>
      <c r="F3" s="27"/>
      <c r="G3" s="82" t="e">
        <f>E3/Summary!#REF!</f>
        <v>#REF!</v>
      </c>
      <c r="H3" s="106" t="s">
        <v>81</v>
      </c>
    </row>
    <row r="4" spans="1:8" x14ac:dyDescent="0.25">
      <c r="A4" s="393"/>
      <c r="B4" s="45" t="s">
        <v>84</v>
      </c>
      <c r="C4" s="12"/>
      <c r="D4" s="12"/>
      <c r="E4" s="111">
        <v>13995</v>
      </c>
      <c r="F4" s="12"/>
      <c r="G4" s="13" t="e">
        <f>E4/Summary!#REF!</f>
        <v>#REF!</v>
      </c>
      <c r="H4" s="92" t="s">
        <v>82</v>
      </c>
    </row>
    <row r="5" spans="1:8" x14ac:dyDescent="0.25">
      <c r="A5" s="393"/>
      <c r="B5" s="45" t="s">
        <v>89</v>
      </c>
      <c r="C5" s="12"/>
      <c r="D5" s="12"/>
      <c r="E5" s="111">
        <v>395</v>
      </c>
      <c r="F5" s="12"/>
      <c r="G5" s="13" t="e">
        <f>E5/Summary!#REF!</f>
        <v>#REF!</v>
      </c>
      <c r="H5" s="92" t="s">
        <v>88</v>
      </c>
    </row>
    <row r="6" spans="1:8" x14ac:dyDescent="0.25">
      <c r="A6" s="393"/>
      <c r="B6" s="45" t="s">
        <v>346</v>
      </c>
      <c r="C6" s="12"/>
      <c r="D6" s="12"/>
      <c r="E6" s="111">
        <v>3795</v>
      </c>
      <c r="F6" s="12"/>
      <c r="G6" s="13" t="e">
        <f>E6/Summary!#REF!</f>
        <v>#REF!</v>
      </c>
      <c r="H6" s="92" t="s">
        <v>345</v>
      </c>
    </row>
    <row r="7" spans="1:8" x14ac:dyDescent="0.25">
      <c r="A7" s="393"/>
      <c r="B7" s="45" t="s">
        <v>375</v>
      </c>
      <c r="C7" s="12"/>
      <c r="D7" s="12"/>
      <c r="E7" s="111"/>
      <c r="F7" s="12"/>
      <c r="G7" s="13">
        <v>119</v>
      </c>
      <c r="H7" s="92" t="s">
        <v>376</v>
      </c>
    </row>
    <row r="8" spans="1:8" x14ac:dyDescent="0.25">
      <c r="A8" s="393"/>
      <c r="B8" s="45" t="s">
        <v>373</v>
      </c>
      <c r="C8" s="12"/>
      <c r="D8" s="12"/>
      <c r="E8" s="111"/>
      <c r="F8" s="12"/>
      <c r="G8" s="13">
        <v>379</v>
      </c>
      <c r="H8" s="92" t="s">
        <v>374</v>
      </c>
    </row>
    <row r="9" spans="1:8" ht="15.75" thickBot="1" x14ac:dyDescent="0.3">
      <c r="A9" s="392"/>
      <c r="B9" s="46" t="s">
        <v>378</v>
      </c>
      <c r="C9" s="28"/>
      <c r="D9" s="28"/>
      <c r="E9" s="128"/>
      <c r="F9" s="28"/>
      <c r="G9" s="88">
        <v>425</v>
      </c>
      <c r="H9" s="94" t="s">
        <v>377</v>
      </c>
    </row>
    <row r="10" spans="1:8" ht="15.75" thickBot="1" x14ac:dyDescent="0.3">
      <c r="A10" s="107"/>
      <c r="G10" s="2"/>
    </row>
    <row r="11" spans="1:8" x14ac:dyDescent="0.25">
      <c r="A11" s="391" t="s">
        <v>531</v>
      </c>
      <c r="B11" s="44" t="s">
        <v>216</v>
      </c>
      <c r="C11" s="27" t="s">
        <v>217</v>
      </c>
      <c r="D11" s="129"/>
      <c r="E11" s="27"/>
      <c r="F11" s="27"/>
      <c r="G11" s="82">
        <v>1079.0999999999999</v>
      </c>
      <c r="H11" s="106" t="s">
        <v>93</v>
      </c>
    </row>
    <row r="12" spans="1:8" ht="15.75" thickBot="1" x14ac:dyDescent="0.3">
      <c r="A12" s="392"/>
      <c r="B12" s="46" t="s">
        <v>216</v>
      </c>
      <c r="C12" s="28" t="s">
        <v>218</v>
      </c>
      <c r="D12" s="130"/>
      <c r="E12" s="28"/>
      <c r="F12" s="88">
        <v>2041.73</v>
      </c>
      <c r="G12" s="88" t="e">
        <f>F12*(1-Summary!#REF!)</f>
        <v>#REF!</v>
      </c>
      <c r="H12" s="94" t="s">
        <v>196</v>
      </c>
    </row>
    <row r="13" spans="1:8" ht="15.75" thickBot="1" x14ac:dyDescent="0.3">
      <c r="A13" s="107"/>
    </row>
    <row r="14" spans="1:8" ht="15.75" thickBot="1" x14ac:dyDescent="0.3">
      <c r="A14" s="109" t="s">
        <v>340</v>
      </c>
      <c r="B14" s="115" t="s">
        <v>338</v>
      </c>
      <c r="C14" s="101" t="s">
        <v>339</v>
      </c>
      <c r="D14" s="101"/>
      <c r="E14" s="101"/>
      <c r="F14" s="101"/>
      <c r="G14" s="126">
        <v>12999</v>
      </c>
      <c r="H14" s="131" t="s">
        <v>337</v>
      </c>
    </row>
    <row r="15" spans="1:8" ht="15.75" thickBot="1" x14ac:dyDescent="0.3">
      <c r="A15" s="107"/>
    </row>
    <row r="16" spans="1:8" x14ac:dyDescent="0.25">
      <c r="A16" s="391" t="s">
        <v>532</v>
      </c>
      <c r="B16" s="44" t="s">
        <v>350</v>
      </c>
      <c r="C16" s="27">
        <v>5</v>
      </c>
      <c r="D16" s="27"/>
      <c r="E16" s="27"/>
      <c r="F16" s="27"/>
      <c r="G16" s="82">
        <v>69.400000000000006</v>
      </c>
      <c r="H16" s="106" t="s">
        <v>349</v>
      </c>
    </row>
    <row r="17" spans="1:8" x14ac:dyDescent="0.25">
      <c r="A17" s="393"/>
      <c r="B17" s="45" t="s">
        <v>352</v>
      </c>
      <c r="C17" s="12">
        <v>1</v>
      </c>
      <c r="D17" s="12"/>
      <c r="E17" s="12"/>
      <c r="F17" s="12"/>
      <c r="G17" s="13">
        <v>1433.25</v>
      </c>
      <c r="H17" s="92" t="s">
        <v>351</v>
      </c>
    </row>
    <row r="18" spans="1:8" x14ac:dyDescent="0.25">
      <c r="A18" s="393"/>
      <c r="B18" s="45" t="s">
        <v>354</v>
      </c>
      <c r="C18" s="12">
        <v>1</v>
      </c>
      <c r="D18" s="12"/>
      <c r="E18" s="12"/>
      <c r="F18" s="12"/>
      <c r="G18" s="13">
        <v>1866.02</v>
      </c>
      <c r="H18" s="92" t="s">
        <v>353</v>
      </c>
    </row>
    <row r="19" spans="1:8" x14ac:dyDescent="0.25">
      <c r="A19" s="393"/>
      <c r="B19" s="45" t="s">
        <v>356</v>
      </c>
      <c r="C19" s="12">
        <v>1</v>
      </c>
      <c r="D19" s="12"/>
      <c r="E19" s="12"/>
      <c r="F19" s="12"/>
      <c r="G19" s="13">
        <v>859.65</v>
      </c>
      <c r="H19" s="92" t="s">
        <v>355</v>
      </c>
    </row>
    <row r="20" spans="1:8" x14ac:dyDescent="0.25">
      <c r="A20" s="393"/>
      <c r="B20" s="45" t="s">
        <v>358</v>
      </c>
      <c r="C20" s="12">
        <v>3</v>
      </c>
      <c r="D20" s="12"/>
      <c r="E20" s="12"/>
      <c r="F20" s="12"/>
      <c r="G20" s="13">
        <v>699.07</v>
      </c>
      <c r="H20" s="92" t="s">
        <v>357</v>
      </c>
    </row>
    <row r="21" spans="1:8" x14ac:dyDescent="0.25">
      <c r="A21" s="393"/>
      <c r="B21" s="45" t="s">
        <v>361</v>
      </c>
      <c r="C21" s="12">
        <v>30</v>
      </c>
      <c r="D21" s="12"/>
      <c r="E21" s="12"/>
      <c r="F21" s="12"/>
      <c r="G21" s="13">
        <v>16.899999999999999</v>
      </c>
      <c r="H21" s="92" t="s">
        <v>362</v>
      </c>
    </row>
    <row r="22" spans="1:8" x14ac:dyDescent="0.25">
      <c r="A22" s="393"/>
      <c r="B22" s="45" t="s">
        <v>287</v>
      </c>
      <c r="C22" s="12"/>
      <c r="D22" s="12"/>
      <c r="E22" s="12"/>
      <c r="F22" s="12"/>
      <c r="G22" s="13">
        <v>1001.67</v>
      </c>
      <c r="H22" s="92" t="s">
        <v>284</v>
      </c>
    </row>
    <row r="23" spans="1:8" x14ac:dyDescent="0.25">
      <c r="A23" s="393"/>
      <c r="B23" s="45" t="s">
        <v>285</v>
      </c>
      <c r="C23" s="12"/>
      <c r="D23" s="12"/>
      <c r="E23" s="12"/>
      <c r="F23" s="12"/>
      <c r="G23" s="13">
        <v>352.31</v>
      </c>
      <c r="H23" s="92" t="s">
        <v>286</v>
      </c>
    </row>
    <row r="24" spans="1:8" ht="15.75" thickBot="1" x14ac:dyDescent="0.3">
      <c r="A24" s="392"/>
      <c r="B24" s="46" t="s">
        <v>348</v>
      </c>
      <c r="C24" s="28" t="s">
        <v>363</v>
      </c>
      <c r="D24" s="28"/>
      <c r="E24" s="28"/>
      <c r="F24" s="28"/>
      <c r="G24" s="88">
        <v>2302.5700000000002</v>
      </c>
      <c r="H24" s="94" t="s">
        <v>347</v>
      </c>
    </row>
    <row r="25" spans="1:8" ht="15.75" thickBot="1" x14ac:dyDescent="0.3">
      <c r="A25" s="107"/>
    </row>
    <row r="26" spans="1:8" x14ac:dyDescent="0.25">
      <c r="A26" s="391" t="s">
        <v>533</v>
      </c>
      <c r="B26" s="44" t="s">
        <v>369</v>
      </c>
      <c r="C26" s="27" t="s">
        <v>370</v>
      </c>
      <c r="D26" s="27"/>
      <c r="E26" s="27"/>
      <c r="F26" s="27"/>
      <c r="G26" s="82">
        <v>3259</v>
      </c>
      <c r="H26" s="106" t="s">
        <v>368</v>
      </c>
    </row>
    <row r="27" spans="1:8" ht="15.75" thickBot="1" x14ac:dyDescent="0.3">
      <c r="A27" s="392"/>
      <c r="B27" s="46" t="s">
        <v>470</v>
      </c>
      <c r="C27" s="28"/>
      <c r="D27" s="28"/>
      <c r="E27" s="28"/>
      <c r="F27" s="28"/>
      <c r="G27" s="88">
        <f>1031.54</f>
        <v>1031.54</v>
      </c>
      <c r="H27" s="94" t="s">
        <v>471</v>
      </c>
    </row>
    <row r="28" spans="1:8" ht="15.75" thickBot="1" x14ac:dyDescent="0.3">
      <c r="A28" s="107"/>
    </row>
    <row r="29" spans="1:8" ht="15.75" thickBot="1" x14ac:dyDescent="0.3">
      <c r="A29" s="109" t="s">
        <v>534</v>
      </c>
      <c r="B29" s="115" t="s">
        <v>371</v>
      </c>
      <c r="C29" s="101"/>
      <c r="D29" s="101"/>
      <c r="E29" s="101"/>
      <c r="F29" s="101"/>
      <c r="G29" s="126">
        <v>1075</v>
      </c>
      <c r="H29" s="131" t="s">
        <v>372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E15" sqref="E15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3" t="s">
        <v>12</v>
      </c>
    </row>
    <row r="2" spans="1:3" x14ac:dyDescent="0.25">
      <c r="A2" t="s">
        <v>49</v>
      </c>
      <c r="B2" s="2">
        <f>97625+10395</f>
        <v>108020</v>
      </c>
      <c r="C2" s="3" t="s">
        <v>51</v>
      </c>
    </row>
    <row r="3" spans="1:3" x14ac:dyDescent="0.25">
      <c r="A3" t="s">
        <v>50</v>
      </c>
    </row>
    <row r="4" spans="1:3" x14ac:dyDescent="0.25">
      <c r="A4" t="s">
        <v>52</v>
      </c>
      <c r="B4" t="s">
        <v>53</v>
      </c>
      <c r="C4">
        <v>1016</v>
      </c>
    </row>
    <row r="5" spans="1:3" x14ac:dyDescent="0.25">
      <c r="B5" t="s">
        <v>54</v>
      </c>
      <c r="C5">
        <v>660</v>
      </c>
    </row>
    <row r="6" spans="1:3" x14ac:dyDescent="0.25">
      <c r="B6" t="s">
        <v>55</v>
      </c>
      <c r="C6">
        <v>635</v>
      </c>
    </row>
    <row r="7" spans="1:3" x14ac:dyDescent="0.25">
      <c r="A7" t="s">
        <v>56</v>
      </c>
    </row>
    <row r="8" spans="1:3" x14ac:dyDescent="0.25">
      <c r="A8" t="s">
        <v>57</v>
      </c>
    </row>
    <row r="9" spans="1:3" x14ac:dyDescent="0.25">
      <c r="A9" t="s">
        <v>58</v>
      </c>
    </row>
    <row r="10" spans="1:3" x14ac:dyDescent="0.25">
      <c r="A10" t="s">
        <v>59</v>
      </c>
      <c r="B10" t="s">
        <v>53</v>
      </c>
      <c r="C10">
        <v>1372</v>
      </c>
    </row>
    <row r="11" spans="1:3" x14ac:dyDescent="0.25">
      <c r="B11" t="s">
        <v>54</v>
      </c>
      <c r="C11">
        <v>610</v>
      </c>
    </row>
    <row r="12" spans="1:3" x14ac:dyDescent="0.25">
      <c r="A12" t="s">
        <v>60</v>
      </c>
      <c r="B12" t="s">
        <v>61</v>
      </c>
    </row>
    <row r="13" spans="1:3" x14ac:dyDescent="0.25">
      <c r="A13" t="s">
        <v>62</v>
      </c>
      <c r="B13" t="s">
        <v>63</v>
      </c>
    </row>
    <row r="14" spans="1:3" x14ac:dyDescent="0.25">
      <c r="A14" t="s">
        <v>64</v>
      </c>
      <c r="B14" t="s">
        <v>65</v>
      </c>
    </row>
    <row r="15" spans="1:3" x14ac:dyDescent="0.25">
      <c r="A15" t="s">
        <v>66</v>
      </c>
      <c r="B15" t="s">
        <v>67</v>
      </c>
    </row>
    <row r="16" spans="1:3" x14ac:dyDescent="0.25">
      <c r="A16" t="s">
        <v>68</v>
      </c>
      <c r="B16" t="s">
        <v>69</v>
      </c>
    </row>
    <row r="17" spans="1:6" x14ac:dyDescent="0.25">
      <c r="A17" t="s">
        <v>23</v>
      </c>
      <c r="B17" t="s">
        <v>70</v>
      </c>
    </row>
    <row r="19" spans="1:6" x14ac:dyDescent="0.25">
      <c r="A19" t="s">
        <v>103</v>
      </c>
      <c r="B19" t="s">
        <v>104</v>
      </c>
      <c r="C19" t="s">
        <v>105</v>
      </c>
    </row>
    <row r="21" spans="1:6" x14ac:dyDescent="0.25">
      <c r="B21" t="s">
        <v>188</v>
      </c>
      <c r="C21" t="s">
        <v>197</v>
      </c>
      <c r="D21" t="s">
        <v>198</v>
      </c>
    </row>
    <row r="22" spans="1:6" x14ac:dyDescent="0.25">
      <c r="A22" t="s">
        <v>49</v>
      </c>
      <c r="B22" s="2">
        <f>97625+10395</f>
        <v>108020</v>
      </c>
      <c r="C22">
        <v>1</v>
      </c>
      <c r="D22" t="s">
        <v>199</v>
      </c>
    </row>
    <row r="23" spans="1:6" x14ac:dyDescent="0.25">
      <c r="A23" t="s">
        <v>103</v>
      </c>
      <c r="B23" s="2">
        <v>100</v>
      </c>
      <c r="C23">
        <v>40</v>
      </c>
      <c r="D23" s="3" t="s">
        <v>104</v>
      </c>
    </row>
    <row r="24" spans="1:6" x14ac:dyDescent="0.25">
      <c r="A24" t="s">
        <v>83</v>
      </c>
      <c r="B24" s="2">
        <v>2500</v>
      </c>
      <c r="C24">
        <v>1</v>
      </c>
      <c r="D24" s="3" t="s">
        <v>79</v>
      </c>
    </row>
    <row r="27" spans="1:6" x14ac:dyDescent="0.25">
      <c r="A27" t="s">
        <v>71</v>
      </c>
      <c r="B27" t="s">
        <v>78</v>
      </c>
    </row>
    <row r="28" spans="1:6" x14ac:dyDescent="0.25">
      <c r="B28" t="s">
        <v>73</v>
      </c>
      <c r="C28" t="s">
        <v>75</v>
      </c>
      <c r="D28" t="s">
        <v>74</v>
      </c>
      <c r="E28" t="s">
        <v>76</v>
      </c>
    </row>
    <row r="29" spans="1:6" x14ac:dyDescent="0.25">
      <c r="A29" t="s">
        <v>72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77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6" sqref="C6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0" t="s">
        <v>335</v>
      </c>
      <c r="B2" s="2">
        <f>133720</f>
        <v>133720</v>
      </c>
      <c r="C2" t="s">
        <v>334</v>
      </c>
    </row>
    <row r="3" spans="1:6" x14ac:dyDescent="0.25">
      <c r="A3" s="10"/>
      <c r="B3" s="2"/>
    </row>
    <row r="4" spans="1:6" x14ac:dyDescent="0.25">
      <c r="A4" s="10" t="s">
        <v>312</v>
      </c>
      <c r="B4">
        <v>208</v>
      </c>
    </row>
    <row r="5" spans="1:6" x14ac:dyDescent="0.25">
      <c r="B5" t="s">
        <v>173</v>
      </c>
      <c r="C5" t="s">
        <v>198</v>
      </c>
    </row>
    <row r="6" spans="1:6" x14ac:dyDescent="0.25">
      <c r="A6" t="s">
        <v>103</v>
      </c>
      <c r="B6" s="2">
        <v>600</v>
      </c>
      <c r="C6" t="s">
        <v>310</v>
      </c>
    </row>
    <row r="7" spans="1:6" x14ac:dyDescent="0.25">
      <c r="A7" t="s">
        <v>308</v>
      </c>
      <c r="B7" s="2">
        <f>(2500+1500)/2</f>
        <v>2000</v>
      </c>
      <c r="C7" t="s">
        <v>310</v>
      </c>
    </row>
    <row r="8" spans="1:6" x14ac:dyDescent="0.25">
      <c r="A8" t="s">
        <v>309</v>
      </c>
      <c r="B8" s="2">
        <v>160</v>
      </c>
      <c r="C8" t="s">
        <v>311</v>
      </c>
    </row>
    <row r="10" spans="1:6" x14ac:dyDescent="0.25">
      <c r="A10" t="s">
        <v>71</v>
      </c>
      <c r="B10" t="s">
        <v>78</v>
      </c>
    </row>
    <row r="11" spans="1:6" x14ac:dyDescent="0.25">
      <c r="B11" t="s">
        <v>73</v>
      </c>
      <c r="C11" t="s">
        <v>75</v>
      </c>
      <c r="D11" t="s">
        <v>74</v>
      </c>
      <c r="E11" t="s">
        <v>76</v>
      </c>
    </row>
    <row r="12" spans="1:6" x14ac:dyDescent="0.25">
      <c r="A12" t="s">
        <v>72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77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336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Louise Am</cp:lastModifiedBy>
  <dcterms:created xsi:type="dcterms:W3CDTF">2019-04-04T18:24:41Z</dcterms:created>
  <dcterms:modified xsi:type="dcterms:W3CDTF">2021-05-23T13:08:28Z</dcterms:modified>
</cp:coreProperties>
</file>