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6"/>
  </bookViews>
  <sheets>
    <sheet name="Fluid" sheetId="4" r:id="rId1"/>
    <sheet name="Hoses materials" sheetId="1" r:id="rId2"/>
    <sheet name="Miscellaneous" sheetId="7" r:id="rId3"/>
    <sheet name="Raw materials" sheetId="5" r:id="rId4"/>
    <sheet name="Sheet materials" sheetId="3" r:id="rId5"/>
    <sheet name="Tubing" sheetId="8" r:id="rId6"/>
    <sheet name="Plumbing" sheetId="6" r:id="rId7"/>
    <sheet name="Temporary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D4" i="1"/>
  <c r="E5" i="8"/>
  <c r="C5" i="8" l="1"/>
  <c r="C2" i="8"/>
  <c r="E2" i="8" s="1"/>
  <c r="C4" i="8"/>
  <c r="C5" i="7" l="1"/>
  <c r="E5" i="7"/>
  <c r="E6" i="7"/>
  <c r="B8" i="4" l="1"/>
  <c r="E8" i="4"/>
  <c r="G3" i="6" l="1"/>
  <c r="G4" i="6" l="1"/>
  <c r="E4" i="6"/>
  <c r="B7" i="4" l="1"/>
  <c r="E7" i="4" s="1"/>
  <c r="C3" i="7"/>
  <c r="E3" i="7" s="1"/>
  <c r="G6" i="6" l="1"/>
  <c r="E6" i="6"/>
  <c r="G2" i="6"/>
  <c r="E2" i="6"/>
  <c r="E4" i="8" l="1"/>
  <c r="C3" i="8"/>
  <c r="E3" i="8" s="1"/>
  <c r="V25" i="2"/>
  <c r="U25" i="2"/>
  <c r="U24" i="2"/>
  <c r="V24" i="2"/>
  <c r="V20" i="2"/>
  <c r="V22" i="2"/>
  <c r="V21" i="2"/>
  <c r="V19" i="2"/>
  <c r="V18" i="2"/>
  <c r="V17" i="2"/>
  <c r="D3" i="1" l="1"/>
  <c r="F8" i="1"/>
  <c r="F10" i="1"/>
  <c r="F9" i="1"/>
  <c r="F2" i="1"/>
  <c r="F3" i="1"/>
  <c r="F5" i="1"/>
  <c r="F6" i="1"/>
  <c r="F7" i="1"/>
  <c r="C4" i="7" l="1"/>
  <c r="E4" i="7" s="1"/>
  <c r="C2" i="7"/>
  <c r="E2" i="7" s="1"/>
  <c r="C2" i="3"/>
  <c r="E2" i="3"/>
  <c r="C7" i="3"/>
  <c r="E7" i="3" s="1"/>
  <c r="C6" i="3"/>
  <c r="E6" i="3" s="1"/>
  <c r="C5" i="3"/>
  <c r="E5" i="3" s="1"/>
  <c r="C4" i="3"/>
  <c r="E3" i="3"/>
  <c r="E4" i="3"/>
  <c r="C3" i="3"/>
  <c r="B5" i="5" l="1"/>
  <c r="F5" i="5" s="1"/>
  <c r="B4" i="5"/>
  <c r="F69" i="2"/>
  <c r="E69" i="2"/>
  <c r="F68" i="2"/>
  <c r="E68" i="2"/>
  <c r="E67" i="2"/>
  <c r="F67" i="2" s="1"/>
  <c r="E66" i="2"/>
  <c r="F66" i="2" s="1"/>
  <c r="D61" i="2"/>
  <c r="F3" i="5"/>
  <c r="F4" i="5"/>
  <c r="F2" i="5"/>
  <c r="D62" i="2"/>
  <c r="E2" i="4" l="1"/>
  <c r="E9" i="4" l="1"/>
  <c r="E5" i="6" l="1"/>
  <c r="F11" i="1"/>
  <c r="B10" i="4"/>
  <c r="E10" i="4" s="1"/>
  <c r="E4" i="4"/>
  <c r="E5" i="4"/>
  <c r="E6" i="4"/>
  <c r="E3" i="4"/>
  <c r="I53" i="2" l="1"/>
  <c r="J53" i="2" s="1"/>
  <c r="J51" i="2"/>
  <c r="J52" i="2"/>
  <c r="J50" i="2"/>
  <c r="I51" i="2"/>
  <c r="I52" i="2"/>
  <c r="I50" i="2"/>
  <c r="C60" i="2"/>
  <c r="D60" i="2" s="1"/>
  <c r="C59" i="2"/>
  <c r="D59" i="2" s="1"/>
  <c r="D58" i="2"/>
  <c r="C58" i="2"/>
  <c r="C57" i="2"/>
  <c r="D57" i="2" s="1"/>
  <c r="C56" i="2"/>
  <c r="D56" i="2" s="1"/>
  <c r="C55" i="2"/>
  <c r="D55" i="2" s="1"/>
  <c r="C54" i="2"/>
  <c r="C53" i="2"/>
  <c r="D53" i="2" s="1"/>
  <c r="C52" i="2"/>
  <c r="D52" i="2" s="1"/>
  <c r="C51" i="2"/>
  <c r="D51" i="2" s="1"/>
  <c r="D54" i="2"/>
  <c r="D50" i="2"/>
  <c r="C50" i="2"/>
  <c r="G11" i="6"/>
  <c r="E11" i="6"/>
  <c r="E8" i="6"/>
  <c r="E9" i="6"/>
  <c r="G9" i="6" s="1"/>
  <c r="E10" i="6"/>
  <c r="G10" i="6" s="1"/>
  <c r="G8" i="6"/>
  <c r="G7" i="6"/>
  <c r="E7" i="6"/>
  <c r="G5" i="6"/>
  <c r="E46" i="2" l="1"/>
  <c r="R36" i="2"/>
  <c r="R37" i="2"/>
  <c r="R38" i="2"/>
  <c r="R35" i="2"/>
  <c r="R34" i="2"/>
  <c r="R33" i="2"/>
  <c r="E39" i="2"/>
  <c r="E38" i="2"/>
  <c r="E37" i="2"/>
  <c r="K36" i="2"/>
  <c r="E36" i="2"/>
  <c r="K35" i="2"/>
  <c r="E35" i="2"/>
  <c r="K34" i="2"/>
  <c r="E34" i="2"/>
  <c r="K33" i="2"/>
  <c r="K37" i="2" s="1"/>
  <c r="E33" i="2"/>
  <c r="E27" i="2"/>
  <c r="E26" i="2"/>
  <c r="E25" i="2"/>
  <c r="E24" i="2"/>
  <c r="E23" i="2"/>
  <c r="E22" i="2"/>
  <c r="Q21" i="2"/>
  <c r="E21" i="2"/>
  <c r="Q20" i="2"/>
  <c r="Q19" i="2"/>
  <c r="Q18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W7" i="2" s="1"/>
  <c r="Q4" i="2"/>
  <c r="J4" i="2"/>
  <c r="E4" i="2"/>
  <c r="E16" i="2" l="1"/>
  <c r="Q22" i="2"/>
  <c r="R39" i="2"/>
  <c r="J12" i="2"/>
  <c r="Q11" i="2"/>
  <c r="E28" i="2"/>
  <c r="E40" i="2"/>
</calcChain>
</file>

<file path=xl/sharedStrings.xml><?xml version="1.0" encoding="utf-8"?>
<sst xmlns="http://schemas.openxmlformats.org/spreadsheetml/2006/main" count="297" uniqueCount="146">
  <si>
    <t>Hose, Stainless Steel Braided Outer, L.P</t>
  </si>
  <si>
    <t>Type</t>
  </si>
  <si>
    <t>Reference</t>
  </si>
  <si>
    <t>Size</t>
  </si>
  <si>
    <t>Dash 6</t>
  </si>
  <si>
    <t>Price (HT)</t>
  </si>
  <si>
    <t>http://www.blockenstock.fr/epaisseur-32mm-et-plus-c102x2963106</t>
  </si>
  <si>
    <t>https://lemetal.fr/148-tole-plane-aluminium</t>
  </si>
  <si>
    <t>Alu 7075 T6</t>
  </si>
  <si>
    <t>Alu 7075</t>
  </si>
  <si>
    <t>2017A</t>
  </si>
  <si>
    <t>Epaisseur (mm)</t>
  </si>
  <si>
    <t>largeur (mm)</t>
  </si>
  <si>
    <t>longueur (mm)</t>
  </si>
  <si>
    <t xml:space="preserve">Prix </t>
  </si>
  <si>
    <t>Prix volumique (€/mm^3)</t>
  </si>
  <si>
    <t>Diamètre (mm)</t>
  </si>
  <si>
    <t xml:space="preserve">Longueur </t>
  </si>
  <si>
    <t xml:space="preserve"> </t>
  </si>
  <si>
    <t>Hauteur (mm)</t>
  </si>
  <si>
    <t>Moyenne</t>
  </si>
  <si>
    <t>Rond plein</t>
  </si>
  <si>
    <t>diamètre (mm)</t>
  </si>
  <si>
    <t>Prix</t>
  </si>
  <si>
    <t>Alu 7075 T651</t>
  </si>
  <si>
    <t>https://www.metalaladecoupe.com/francais/barres_rondes_5_50.asp?tbout=acier</t>
  </si>
  <si>
    <t>https://rhmetal.fr/87-rond-acier-noir-s235</t>
  </si>
  <si>
    <t>Acier S325JR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</si>
  <si>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</si>
  <si>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</si>
  <si>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</si>
  <si>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</si>
  <si>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</si>
  <si>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Fluid, demineralized water</t>
  </si>
  <si>
    <t>Fluid, limited slip differential oil 75W140</t>
  </si>
  <si>
    <t>Fluid</t>
  </si>
  <si>
    <t>Fluid, engine oil 10W40</t>
  </si>
  <si>
    <t>Fluide, gasoline 98RON</t>
  </si>
  <si>
    <t>Stainless tube, straight</t>
  </si>
  <si>
    <t>Φ53 x 1,5</t>
  </si>
  <si>
    <t>Unity</t>
  </si>
  <si>
    <t>m</t>
  </si>
  <si>
    <t>Reference price</t>
  </si>
  <si>
    <t>Bery inox</t>
  </si>
  <si>
    <t>° (degrees)</t>
  </si>
  <si>
    <t>Quantity (unity)</t>
  </si>
  <si>
    <t>Φ48 x 1,3</t>
  </si>
  <si>
    <t>Stainless tube, round, 55mm radius</t>
  </si>
  <si>
    <t>Stainless tube, round, 93mm radius</t>
  </si>
  <si>
    <t>Φ42,4 x 1,6</t>
  </si>
  <si>
    <t>Stainless tube, round, 48mm radius</t>
  </si>
  <si>
    <t>Φ51 x 1,2</t>
  </si>
  <si>
    <t>Stainless tube, round, 75mm radius</t>
  </si>
  <si>
    <t>Retours La Mache usinage</t>
  </si>
  <si>
    <t>Volume (mm^3)</t>
  </si>
  <si>
    <t>Rond plein 2017A</t>
  </si>
  <si>
    <t>Brut 2017A</t>
  </si>
  <si>
    <t>Rond plein S355J2</t>
  </si>
  <si>
    <t>Brut S235</t>
  </si>
  <si>
    <t>Brut Alu 7075T6</t>
  </si>
  <si>
    <t>Rond plein Alu 7075T6</t>
  </si>
  <si>
    <t>Retours La Mache laser toles</t>
  </si>
  <si>
    <t>S235</t>
  </si>
  <si>
    <t>S355</t>
  </si>
  <si>
    <t>S700</t>
  </si>
  <si>
    <t>Prix (/kg)</t>
  </si>
  <si>
    <t>AU4G A4</t>
  </si>
  <si>
    <t>Densité (kg/mm^3)</t>
  </si>
  <si>
    <t>L</t>
  </si>
  <si>
    <t>Tripod grease</t>
  </si>
  <si>
    <t>kg</t>
  </si>
  <si>
    <t>Reverchon</t>
  </si>
  <si>
    <t>Price (HT, by unity)</t>
  </si>
  <si>
    <t>Threadlock, medium</t>
  </si>
  <si>
    <t>by utilisation</t>
  </si>
  <si>
    <t>Fluid, chain oil</t>
  </si>
  <si>
    <t>Maxxess (1 bottle = 40 utilisation)</t>
  </si>
  <si>
    <t>Material</t>
  </si>
  <si>
    <t>Length (mm)</t>
  </si>
  <si>
    <t>Width (mm)</t>
  </si>
  <si>
    <t>Thickness (mm)</t>
  </si>
  <si>
    <t>Aluminium, 2017A</t>
  </si>
  <si>
    <t>Aluminium, 7075 T6</t>
  </si>
  <si>
    <t>Plastic, Delrin</t>
  </si>
  <si>
    <t>Steel, 25CD4</t>
  </si>
  <si>
    <t>Moyenne 2017A</t>
  </si>
  <si>
    <t>Plastic Delrin</t>
  </si>
  <si>
    <t>Prix (€/m^2)</t>
  </si>
  <si>
    <t>Source</t>
  </si>
  <si>
    <t>https://plastique-en-ligne.com/Plaques/POM-C</t>
  </si>
  <si>
    <t>Prix volumique (€/mm^3) HT</t>
  </si>
  <si>
    <t>Prix volumique (€/mm^3) (TTC)</t>
  </si>
  <si>
    <t>Surface (m^2)</t>
  </si>
  <si>
    <t>Steel, S235</t>
  </si>
  <si>
    <t>Steel, S355</t>
  </si>
  <si>
    <t>Steel, S700</t>
  </si>
  <si>
    <t>Engine Sealant Paste</t>
  </si>
  <si>
    <t>mL</t>
  </si>
  <si>
    <t>Price (€, HT)</t>
  </si>
  <si>
    <t>Sealing paper</t>
  </si>
  <si>
    <t>m^2</t>
  </si>
  <si>
    <t>Hose, Silicone</t>
  </si>
  <si>
    <t>Hose, Silicone, 45°</t>
  </si>
  <si>
    <t>for 1</t>
  </si>
  <si>
    <t>Φ ext. 25 mm</t>
  </si>
  <si>
    <t>Φ ext. 6 mm</t>
  </si>
  <si>
    <t>Hose, Stainless</t>
  </si>
  <si>
    <t>Φ ext. 12 mm</t>
  </si>
  <si>
    <t>Φ ext. 26 mm</t>
  </si>
  <si>
    <t>Hose, Silicone, 135°</t>
  </si>
  <si>
    <t>Hose, rubber, flexible</t>
  </si>
  <si>
    <t>Hose, FEP</t>
  </si>
  <si>
    <t>Quantity (m)</t>
  </si>
  <si>
    <t>Tubing, Aluminum, 2017A</t>
  </si>
  <si>
    <t>diam ext (mm)</t>
  </si>
  <si>
    <t>diamètre int (mm)</t>
  </si>
  <si>
    <t>https://www.acier-detail-decoupe.fr/45-aluminium#/alliage-2017a</t>
  </si>
  <si>
    <t>Φ 10 * 9 mm</t>
  </si>
  <si>
    <t>Prix volumique (€/mm^3) TTC</t>
  </si>
  <si>
    <t>Prix (/m) TTC</t>
  </si>
  <si>
    <t>http://www.blockenstock.fr/tube-6060-t6-c102x2607947</t>
  </si>
  <si>
    <t>Φ 12 * 11 mm</t>
  </si>
  <si>
    <t>Φ34 x 1,5</t>
  </si>
  <si>
    <t>Glue, High temperature resistance</t>
  </si>
  <si>
    <t>for fuel tank</t>
  </si>
  <si>
    <t>None</t>
  </si>
  <si>
    <t>Fiberglass Insulation</t>
  </si>
  <si>
    <t>Φ42,4 x 1,5</t>
  </si>
  <si>
    <t>Paint</t>
  </si>
  <si>
    <t>cm²</t>
  </si>
  <si>
    <t>Seal, O-ring, Copper</t>
  </si>
  <si>
    <t>by O-ring</t>
  </si>
  <si>
    <t>Seal, O-ring, Elastomer, 25mm</t>
  </si>
  <si>
    <t>Φ ext. 8 mm</t>
  </si>
  <si>
    <t>Φ 38 * 35 mm</t>
  </si>
  <si>
    <t>Φ 6 * 5 mm</t>
  </si>
  <si>
    <t>RS components</t>
  </si>
  <si>
    <t>PSEP industrie</t>
  </si>
  <si>
    <t xml:space="preserve">Maxxess  </t>
  </si>
  <si>
    <t>Price (TTC, by Unity)</t>
  </si>
  <si>
    <t>Hose, rubber, reinforced</t>
  </si>
  <si>
    <t>Φ int. 35 mm</t>
  </si>
  <si>
    <t xml:space="preserve">Price (HT, by unity) </t>
  </si>
  <si>
    <t>Price (HT, €/m^2)</t>
  </si>
  <si>
    <t>Price (HT, €/mm^3)</t>
  </si>
  <si>
    <t>Price (HT, by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</si>
</sst>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\ [$€-40C]_-;\-* #,##0.00\ [$€-40C]_-;_-* &quot;-&quot;??\ [$€-40C]_-;_-@_-"/>
    <numFmt numFmtId="165" formatCode="_-* #,##0.0000\ &quot;€&quot;_-;\-* #,##0.00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57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left"/>
    </xf>
    <xf numFmtId="11" fontId="0" fillId="0" borderId="0" xfId="0" applyNumberFormat="1"/>
    <xf numFmtId="11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0" fontId="0" fillId="0" borderId="1" xfId="0" applyBorder="1"/>
    <xf numFmtId="44" fontId="0" fillId="0" borderId="1" xfId="1" applyFont="1" applyBorder="1"/>
    <xf numFmtId="44" fontId="0" fillId="0" borderId="1" xfId="1" applyFont="1" applyBorder="1" applyAlignment="1">
      <alignment horizontal="center"/>
    </xf>
    <xf numFmtId="165" fontId="0" fillId="0" borderId="1" xfId="1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4" fontId="0" fillId="0" borderId="5" xfId="1" applyFont="1" applyBorder="1"/>
    <xf numFmtId="44" fontId="0" fillId="0" borderId="5" xfId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44" fontId="0" fillId="0" borderId="8" xfId="1" applyFont="1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10" xfId="0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8" xfId="0" applyBorder="1"/>
    <xf numFmtId="0" fontId="3" fillId="0" borderId="11" xfId="0" applyFont="1" applyBorder="1"/>
    <xf numFmtId="0" fontId="3" fillId="0" borderId="12" xfId="0" applyFont="1" applyBorder="1"/>
    <xf numFmtId="2" fontId="0" fillId="0" borderId="1" xfId="0" applyNumberFormat="1" applyBorder="1"/>
    <xf numFmtId="44" fontId="0" fillId="0" borderId="3" xfId="0" applyNumberFormat="1" applyBorder="1"/>
    <xf numFmtId="44" fontId="0" fillId="0" borderId="6" xfId="0" applyNumberFormat="1" applyBorder="1"/>
    <xf numFmtId="44" fontId="0" fillId="0" borderId="9" xfId="0" applyNumberFormat="1" applyBorder="1"/>
    <xf numFmtId="11" fontId="0" fillId="0" borderId="1" xfId="0" applyNumberFormat="1" applyBorder="1"/>
    <xf numFmtId="44" fontId="0" fillId="0" borderId="3" xfId="1" applyFont="1" applyBorder="1"/>
    <xf numFmtId="11" fontId="0" fillId="0" borderId="5" xfId="0" applyNumberFormat="1" applyBorder="1"/>
    <xf numFmtId="44" fontId="0" fillId="0" borderId="6" xfId="1" applyFont="1" applyBorder="1"/>
    <xf numFmtId="11" fontId="0" fillId="0" borderId="8" xfId="0" applyNumberFormat="1" applyBorder="1"/>
    <xf numFmtId="44" fontId="0" fillId="0" borderId="9" xfId="1" applyFont="1" applyBorder="1"/>
    <xf numFmtId="0" fontId="0" fillId="0" borderId="1" xfId="3" applyNumberFormat="1" applyFont="1" applyBorder="1" applyAlignment="1">
      <alignment horizontal="right"/>
    </xf>
    <xf numFmtId="0" fontId="0" fillId="0" borderId="5" xfId="3" applyNumberFormat="1" applyFont="1" applyBorder="1" applyAlignment="1">
      <alignment horizontal="right"/>
    </xf>
    <xf numFmtId="0" fontId="0" fillId="0" borderId="8" xfId="3" applyNumberFormat="1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/>
    <xf numFmtId="164" fontId="0" fillId="0" borderId="1" xfId="0" applyNumberFormat="1" applyFont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164" fontId="0" fillId="0" borderId="5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164" fontId="0" fillId="0" borderId="8" xfId="0" applyNumberFormat="1" applyFont="1" applyBorder="1"/>
    <xf numFmtId="164" fontId="0" fillId="0" borderId="8" xfId="0" applyNumberFormat="1" applyFont="1" applyBorder="1" applyAlignment="1">
      <alignment horizontal="center"/>
    </xf>
    <xf numFmtId="0" fontId="0" fillId="0" borderId="8" xfId="0" applyFont="1" applyBorder="1" applyAlignment="1">
      <alignment horizontal="center"/>
    </xf>
  </cellXfs>
  <cellStyles count="4">
    <cellStyle name="Lien hypertexte" xfId="2" builtinId="8"/>
    <cellStyle name="Milliers" xfId="3" builtinId="3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F10"/>
    </sheetView>
  </sheetViews>
  <sheetFormatPr baseColWidth="10" defaultRowHeight="14.4" x14ac:dyDescent="0.3"/>
  <cols>
    <col min="1" max="1" width="33.6640625" customWidth="1"/>
    <col min="2" max="2" width="18.21875" customWidth="1"/>
    <col min="3" max="4" width="13.5546875" customWidth="1"/>
    <col min="5" max="5" width="10.6640625" customWidth="1"/>
    <col min="6" max="6" width="28.44140625" customWidth="1"/>
  </cols>
  <sheetData>
    <row r="1" spans="1:6" ht="15" thickBot="1" x14ac:dyDescent="0.35">
      <c r="A1" s="23" t="s">
        <v>35</v>
      </c>
      <c r="B1" s="24" t="s">
        <v>139</v>
      </c>
      <c r="C1" s="24" t="s">
        <v>40</v>
      </c>
      <c r="D1" s="24" t="s">
        <v>45</v>
      </c>
      <c r="E1" s="24" t="s">
        <v>5</v>
      </c>
      <c r="F1" s="25" t="s">
        <v>88</v>
      </c>
    </row>
    <row r="2" spans="1:6" x14ac:dyDescent="0.3">
      <c r="A2" s="19" t="s">
        <v>75</v>
      </c>
      <c r="B2" s="20">
        <v>0.2</v>
      </c>
      <c r="C2" s="21" t="s">
        <v>74</v>
      </c>
      <c r="D2" s="21"/>
      <c r="E2" s="20">
        <f>D2*B2/1.2</f>
        <v>0</v>
      </c>
      <c r="F2" s="22" t="s">
        <v>76</v>
      </c>
    </row>
    <row r="3" spans="1:6" x14ac:dyDescent="0.3">
      <c r="A3" s="12" t="s">
        <v>33</v>
      </c>
      <c r="B3" s="9">
        <v>0.33</v>
      </c>
      <c r="C3" s="10" t="s">
        <v>68</v>
      </c>
      <c r="D3" s="8"/>
      <c r="E3" s="9">
        <f>D3*B3/1.2</f>
        <v>0</v>
      </c>
      <c r="F3" s="13"/>
    </row>
    <row r="4" spans="1:6" x14ac:dyDescent="0.3">
      <c r="A4" s="12" t="s">
        <v>34</v>
      </c>
      <c r="B4" s="9">
        <v>24.65</v>
      </c>
      <c r="C4" s="10" t="s">
        <v>68</v>
      </c>
      <c r="D4" s="8"/>
      <c r="E4" s="9">
        <f t="shared" ref="E4:E10" si="0">D4*B4/1.2</f>
        <v>0</v>
      </c>
      <c r="F4" s="13" t="s">
        <v>138</v>
      </c>
    </row>
    <row r="5" spans="1:6" x14ac:dyDescent="0.3">
      <c r="A5" s="12" t="s">
        <v>36</v>
      </c>
      <c r="B5" s="9">
        <v>16.559999999999999</v>
      </c>
      <c r="C5" s="10" t="s">
        <v>68</v>
      </c>
      <c r="D5" s="8"/>
      <c r="E5" s="9">
        <f t="shared" si="0"/>
        <v>0</v>
      </c>
      <c r="F5" s="13" t="s">
        <v>138</v>
      </c>
    </row>
    <row r="6" spans="1:6" x14ac:dyDescent="0.3">
      <c r="A6" s="12" t="s">
        <v>37</v>
      </c>
      <c r="B6" s="9">
        <v>1.65</v>
      </c>
      <c r="C6" s="10" t="s">
        <v>68</v>
      </c>
      <c r="D6" s="8"/>
      <c r="E6" s="9">
        <f t="shared" si="0"/>
        <v>0</v>
      </c>
      <c r="F6" s="13"/>
    </row>
    <row r="7" spans="1:6" x14ac:dyDescent="0.3">
      <c r="A7" s="12" t="s">
        <v>123</v>
      </c>
      <c r="B7" s="9">
        <f>27.9/3/1.2</f>
        <v>7.7499999999999991</v>
      </c>
      <c r="C7" s="10" t="s">
        <v>124</v>
      </c>
      <c r="D7" s="8" t="s">
        <v>125</v>
      </c>
      <c r="E7" s="9">
        <f>B7</f>
        <v>7.7499999999999991</v>
      </c>
      <c r="F7" s="13" t="s">
        <v>136</v>
      </c>
    </row>
    <row r="8" spans="1:6" x14ac:dyDescent="0.3">
      <c r="A8" s="12" t="s">
        <v>128</v>
      </c>
      <c r="B8" s="11">
        <f>23/(2.5*10000)</f>
        <v>9.2000000000000003E-4</v>
      </c>
      <c r="C8" s="10" t="s">
        <v>129</v>
      </c>
      <c r="D8" s="8"/>
      <c r="E8" s="9">
        <f>D8*B8</f>
        <v>0</v>
      </c>
      <c r="F8" s="13" t="s">
        <v>137</v>
      </c>
    </row>
    <row r="9" spans="1:6" x14ac:dyDescent="0.3">
      <c r="A9" s="12" t="s">
        <v>73</v>
      </c>
      <c r="B9" s="9">
        <v>0.48</v>
      </c>
      <c r="C9" s="10" t="s">
        <v>74</v>
      </c>
      <c r="D9" s="8"/>
      <c r="E9" s="9">
        <f t="shared" si="0"/>
        <v>0</v>
      </c>
      <c r="F9" s="13" t="s">
        <v>136</v>
      </c>
    </row>
    <row r="10" spans="1:6" ht="15" thickBot="1" x14ac:dyDescent="0.35">
      <c r="A10" s="14" t="s">
        <v>69</v>
      </c>
      <c r="B10" s="15">
        <f>48.68*1000/350</f>
        <v>139.08571428571429</v>
      </c>
      <c r="C10" s="16" t="s">
        <v>70</v>
      </c>
      <c r="D10" s="17"/>
      <c r="E10" s="15">
        <f t="shared" si="0"/>
        <v>0</v>
      </c>
      <c r="F10" s="18" t="s">
        <v>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1" sqref="A1:G11"/>
    </sheetView>
  </sheetViews>
  <sheetFormatPr baseColWidth="10" defaultRowHeight="14.4" x14ac:dyDescent="0.3"/>
  <cols>
    <col min="1" max="1" width="33.88671875" customWidth="1"/>
    <col min="2" max="2" width="13.88671875" customWidth="1"/>
    <col min="4" max="4" width="16.44140625" customWidth="1"/>
    <col min="5" max="5" width="14.44140625" customWidth="1"/>
  </cols>
  <sheetData>
    <row r="1" spans="1:7" ht="15" thickBot="1" x14ac:dyDescent="0.35">
      <c r="A1" s="23" t="s">
        <v>1</v>
      </c>
      <c r="B1" s="27" t="s">
        <v>3</v>
      </c>
      <c r="C1" s="27" t="s">
        <v>40</v>
      </c>
      <c r="D1" s="27" t="s">
        <v>72</v>
      </c>
      <c r="E1" s="27" t="s">
        <v>45</v>
      </c>
      <c r="F1" s="27" t="s">
        <v>5</v>
      </c>
      <c r="G1" s="28" t="s">
        <v>88</v>
      </c>
    </row>
    <row r="2" spans="1:7" x14ac:dyDescent="0.3">
      <c r="A2" s="19" t="s">
        <v>111</v>
      </c>
      <c r="B2" s="26" t="s">
        <v>133</v>
      </c>
      <c r="C2" s="26" t="s">
        <v>41</v>
      </c>
      <c r="D2" s="20">
        <v>9.09</v>
      </c>
      <c r="E2" s="26"/>
      <c r="F2" s="20">
        <f t="shared" ref="F2:F10" si="0">D2*E2</f>
        <v>0</v>
      </c>
      <c r="G2" s="22" t="s">
        <v>71</v>
      </c>
    </row>
    <row r="3" spans="1:7" x14ac:dyDescent="0.3">
      <c r="A3" s="12" t="s">
        <v>110</v>
      </c>
      <c r="B3" s="8" t="s">
        <v>105</v>
      </c>
      <c r="C3" s="8" t="s">
        <v>41</v>
      </c>
      <c r="D3" s="9">
        <f>5/10</f>
        <v>0.5</v>
      </c>
      <c r="E3" s="8"/>
      <c r="F3" s="9">
        <f t="shared" si="0"/>
        <v>0</v>
      </c>
      <c r="G3" s="13" t="s">
        <v>71</v>
      </c>
    </row>
    <row r="4" spans="1:7" x14ac:dyDescent="0.3">
      <c r="A4" s="12" t="s">
        <v>140</v>
      </c>
      <c r="B4" s="8" t="s">
        <v>141</v>
      </c>
      <c r="C4" s="8" t="s">
        <v>41</v>
      </c>
      <c r="D4" s="9">
        <f>28/1.2</f>
        <v>23.333333333333336</v>
      </c>
      <c r="E4" s="8"/>
      <c r="F4" s="9">
        <f t="shared" si="0"/>
        <v>0</v>
      </c>
      <c r="G4" s="13" t="s">
        <v>71</v>
      </c>
    </row>
    <row r="5" spans="1:7" x14ac:dyDescent="0.3">
      <c r="A5" s="12" t="s">
        <v>101</v>
      </c>
      <c r="B5" s="8" t="s">
        <v>105</v>
      </c>
      <c r="C5" s="8" t="s">
        <v>41</v>
      </c>
      <c r="D5" s="9">
        <v>9</v>
      </c>
      <c r="E5" s="8"/>
      <c r="F5" s="9">
        <f t="shared" si="0"/>
        <v>0</v>
      </c>
      <c r="G5" s="13" t="s">
        <v>71</v>
      </c>
    </row>
    <row r="6" spans="1:7" x14ac:dyDescent="0.3">
      <c r="A6" s="12" t="s">
        <v>101</v>
      </c>
      <c r="B6" s="8" t="s">
        <v>104</v>
      </c>
      <c r="C6" s="8" t="s">
        <v>41</v>
      </c>
      <c r="D6" s="9">
        <v>15</v>
      </c>
      <c r="E6" s="8"/>
      <c r="F6" s="9">
        <f t="shared" si="0"/>
        <v>0</v>
      </c>
      <c r="G6" s="13" t="s">
        <v>71</v>
      </c>
    </row>
    <row r="7" spans="1:7" x14ac:dyDescent="0.3">
      <c r="A7" s="12" t="s">
        <v>102</v>
      </c>
      <c r="B7" s="8" t="s">
        <v>104</v>
      </c>
      <c r="C7" s="8" t="s">
        <v>103</v>
      </c>
      <c r="D7" s="9">
        <v>8.25</v>
      </c>
      <c r="E7" s="8"/>
      <c r="F7" s="9">
        <f t="shared" si="0"/>
        <v>0</v>
      </c>
      <c r="G7" s="13" t="s">
        <v>71</v>
      </c>
    </row>
    <row r="8" spans="1:7" x14ac:dyDescent="0.3">
      <c r="A8" s="12" t="s">
        <v>109</v>
      </c>
      <c r="B8" s="8" t="s">
        <v>104</v>
      </c>
      <c r="C8" s="8" t="s">
        <v>103</v>
      </c>
      <c r="D8" s="9">
        <v>7.5</v>
      </c>
      <c r="E8" s="8"/>
      <c r="F8" s="9">
        <f t="shared" si="0"/>
        <v>0</v>
      </c>
      <c r="G8" s="13" t="s">
        <v>71</v>
      </c>
    </row>
    <row r="9" spans="1:7" x14ac:dyDescent="0.3">
      <c r="A9" s="12" t="s">
        <v>106</v>
      </c>
      <c r="B9" s="8" t="s">
        <v>107</v>
      </c>
      <c r="C9" s="8" t="s">
        <v>41</v>
      </c>
      <c r="D9" s="9">
        <v>12</v>
      </c>
      <c r="E9" s="8"/>
      <c r="F9" s="9">
        <f t="shared" si="0"/>
        <v>0</v>
      </c>
      <c r="G9" s="13" t="s">
        <v>71</v>
      </c>
    </row>
    <row r="10" spans="1:7" x14ac:dyDescent="0.3">
      <c r="A10" s="12" t="s">
        <v>106</v>
      </c>
      <c r="B10" s="8" t="s">
        <v>108</v>
      </c>
      <c r="C10" s="8" t="s">
        <v>41</v>
      </c>
      <c r="D10" s="9">
        <v>21</v>
      </c>
      <c r="E10" s="8"/>
      <c r="F10" s="9">
        <f t="shared" si="0"/>
        <v>0</v>
      </c>
      <c r="G10" s="13" t="s">
        <v>71</v>
      </c>
    </row>
    <row r="11" spans="1:7" ht="15" thickBot="1" x14ac:dyDescent="0.35">
      <c r="A11" s="14" t="s">
        <v>0</v>
      </c>
      <c r="B11" s="17" t="s">
        <v>4</v>
      </c>
      <c r="C11" s="17" t="s">
        <v>41</v>
      </c>
      <c r="D11" s="15">
        <v>30.3</v>
      </c>
      <c r="E11" s="17"/>
      <c r="F11" s="15">
        <f>D11*E11</f>
        <v>0</v>
      </c>
      <c r="G11" s="18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baseColWidth="10" defaultRowHeight="14.4" x14ac:dyDescent="0.3"/>
  <cols>
    <col min="1" max="1" width="27" customWidth="1"/>
    <col min="3" max="3" width="17.6640625" customWidth="1"/>
    <col min="4" max="4" width="14.5546875" customWidth="1"/>
  </cols>
  <sheetData>
    <row r="1" spans="1:5" ht="15" thickBot="1" x14ac:dyDescent="0.35">
      <c r="A1" s="23" t="s">
        <v>1</v>
      </c>
      <c r="B1" s="27" t="s">
        <v>40</v>
      </c>
      <c r="C1" s="27" t="s">
        <v>142</v>
      </c>
      <c r="D1" s="27" t="s">
        <v>45</v>
      </c>
      <c r="E1" s="28" t="s">
        <v>98</v>
      </c>
    </row>
    <row r="2" spans="1:5" x14ac:dyDescent="0.3">
      <c r="A2" s="19" t="s">
        <v>96</v>
      </c>
      <c r="B2" s="26" t="s">
        <v>97</v>
      </c>
      <c r="C2" s="20">
        <f>10.68/(1.2*100)</f>
        <v>8.8999999999999996E-2</v>
      </c>
      <c r="D2" s="26"/>
      <c r="E2" s="32">
        <f>C2*D2</f>
        <v>0</v>
      </c>
    </row>
    <row r="3" spans="1:5" x14ac:dyDescent="0.3">
      <c r="A3" s="12" t="s">
        <v>126</v>
      </c>
      <c r="B3" s="8" t="s">
        <v>124</v>
      </c>
      <c r="C3" s="29">
        <f>59/4/1.2</f>
        <v>12.291666666666668</v>
      </c>
      <c r="D3" s="8" t="s">
        <v>125</v>
      </c>
      <c r="E3" s="30">
        <f>C3</f>
        <v>12.291666666666668</v>
      </c>
    </row>
    <row r="4" spans="1:5" x14ac:dyDescent="0.3">
      <c r="A4" s="12" t="s">
        <v>99</v>
      </c>
      <c r="B4" s="8" t="s">
        <v>100</v>
      </c>
      <c r="C4" s="9">
        <f>5.56/(0.235*0.335)</f>
        <v>70.62559542711972</v>
      </c>
      <c r="D4" s="8"/>
      <c r="E4" s="30">
        <f>C4*D4</f>
        <v>0</v>
      </c>
    </row>
    <row r="5" spans="1:5" x14ac:dyDescent="0.3">
      <c r="A5" s="12" t="s">
        <v>132</v>
      </c>
      <c r="B5" s="8" t="s">
        <v>131</v>
      </c>
      <c r="C5" s="9">
        <f>0.56</f>
        <v>0.56000000000000005</v>
      </c>
      <c r="D5" s="8"/>
      <c r="E5" s="30">
        <f>C5*D5</f>
        <v>0</v>
      </c>
    </row>
    <row r="6" spans="1:5" ht="15" thickBot="1" x14ac:dyDescent="0.35">
      <c r="A6" s="14" t="s">
        <v>130</v>
      </c>
      <c r="B6" s="17" t="s">
        <v>131</v>
      </c>
      <c r="C6" s="15">
        <v>1.48</v>
      </c>
      <c r="D6" s="17"/>
      <c r="E6" s="31">
        <f>D6*C6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5" sqref="A1:F5"/>
    </sheetView>
  </sheetViews>
  <sheetFormatPr baseColWidth="10" defaultRowHeight="14.4" x14ac:dyDescent="0.3"/>
  <cols>
    <col min="1" max="1" width="19" customWidth="1"/>
    <col min="2" max="2" width="17.44140625" customWidth="1"/>
    <col min="5" max="5" width="16.44140625" customWidth="1"/>
    <col min="6" max="6" width="14.21875" customWidth="1"/>
  </cols>
  <sheetData>
    <row r="1" spans="1:6" ht="15" thickBot="1" x14ac:dyDescent="0.35">
      <c r="A1" s="23" t="s">
        <v>77</v>
      </c>
      <c r="B1" s="27" t="s">
        <v>144</v>
      </c>
      <c r="C1" s="27" t="s">
        <v>78</v>
      </c>
      <c r="D1" s="27" t="s">
        <v>79</v>
      </c>
      <c r="E1" s="27" t="s">
        <v>80</v>
      </c>
      <c r="F1" s="28" t="s">
        <v>98</v>
      </c>
    </row>
    <row r="2" spans="1:6" x14ac:dyDescent="0.3">
      <c r="A2" s="19" t="s">
        <v>81</v>
      </c>
      <c r="B2" s="37">
        <v>1.7494170995654369E-5</v>
      </c>
      <c r="C2" s="26"/>
      <c r="D2" s="26"/>
      <c r="E2" s="26"/>
      <c r="F2" s="38">
        <f>E2*D2*C2*B2</f>
        <v>0</v>
      </c>
    </row>
    <row r="3" spans="1:6" x14ac:dyDescent="0.3">
      <c r="A3" s="12" t="s">
        <v>82</v>
      </c>
      <c r="B3" s="33">
        <v>2.2449399217561005E-5</v>
      </c>
      <c r="C3" s="8"/>
      <c r="D3" s="8"/>
      <c r="E3" s="8"/>
      <c r="F3" s="34">
        <f t="shared" ref="F3:F5" si="0">E3*D3*C3*B3</f>
        <v>0</v>
      </c>
    </row>
    <row r="4" spans="1:6" x14ac:dyDescent="0.3">
      <c r="A4" s="12" t="s">
        <v>83</v>
      </c>
      <c r="B4" s="33">
        <f>0.0000198/1.2</f>
        <v>1.6500000000000001E-5</v>
      </c>
      <c r="C4" s="8"/>
      <c r="D4" s="8"/>
      <c r="E4" s="8"/>
      <c r="F4" s="34">
        <f t="shared" si="0"/>
        <v>0</v>
      </c>
    </row>
    <row r="5" spans="1:6" ht="15" thickBot="1" x14ac:dyDescent="0.35">
      <c r="A5" s="14" t="s">
        <v>84</v>
      </c>
      <c r="B5" s="35">
        <f>0.0000178345667155329/1.2</f>
        <v>1.486213892961075E-5</v>
      </c>
      <c r="C5" s="17"/>
      <c r="D5" s="17"/>
      <c r="E5" s="17"/>
      <c r="F5" s="36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E7"/>
    </sheetView>
  </sheetViews>
  <sheetFormatPr baseColWidth="10" defaultRowHeight="14.4" x14ac:dyDescent="0.3"/>
  <cols>
    <col min="1" max="1" width="21.5546875" customWidth="1"/>
    <col min="2" max="2" width="14.109375" customWidth="1"/>
    <col min="3" max="3" width="16" customWidth="1"/>
    <col min="4" max="4" width="16.6640625" customWidth="1"/>
    <col min="5" max="5" width="15.5546875" customWidth="1"/>
  </cols>
  <sheetData>
    <row r="1" spans="1:7" ht="15" thickBot="1" x14ac:dyDescent="0.35">
      <c r="A1" s="23" t="s">
        <v>77</v>
      </c>
      <c r="B1" s="27" t="s">
        <v>80</v>
      </c>
      <c r="C1" s="27" t="s">
        <v>143</v>
      </c>
      <c r="D1" s="27" t="s">
        <v>92</v>
      </c>
      <c r="E1" s="28" t="s">
        <v>98</v>
      </c>
    </row>
    <row r="2" spans="1:7" x14ac:dyDescent="0.3">
      <c r="A2" s="19" t="s">
        <v>81</v>
      </c>
      <c r="B2" s="41">
        <v>1.5</v>
      </c>
      <c r="C2" s="20">
        <f>0.0000486*POWER(1000,3)*B2/1000</f>
        <v>72.900000000000006</v>
      </c>
      <c r="D2" s="26"/>
      <c r="E2" s="32">
        <f>C2*D2</f>
        <v>0</v>
      </c>
    </row>
    <row r="3" spans="1:7" x14ac:dyDescent="0.3">
      <c r="A3" s="12" t="s">
        <v>81</v>
      </c>
      <c r="B3" s="39">
        <v>2</v>
      </c>
      <c r="C3" s="9">
        <f t="shared" ref="C3" si="0">0.0000486*POWER(1000,3)*B3/1000</f>
        <v>97.2</v>
      </c>
      <c r="D3" s="8"/>
      <c r="E3" s="30">
        <f t="shared" ref="E3:E7" si="1">C3*D3</f>
        <v>0</v>
      </c>
      <c r="F3" s="1"/>
    </row>
    <row r="4" spans="1:7" x14ac:dyDescent="0.3">
      <c r="A4" s="12" t="s">
        <v>81</v>
      </c>
      <c r="B4" s="39">
        <v>2.5</v>
      </c>
      <c r="C4" s="9">
        <f>0.0000486*POWER(1000,3)*B4/1000</f>
        <v>121.5</v>
      </c>
      <c r="D4" s="8"/>
      <c r="E4" s="30">
        <f t="shared" si="1"/>
        <v>0</v>
      </c>
      <c r="F4" s="1"/>
    </row>
    <row r="5" spans="1:7" x14ac:dyDescent="0.3">
      <c r="A5" s="12" t="s">
        <v>93</v>
      </c>
      <c r="B5" s="39">
        <v>1.5</v>
      </c>
      <c r="C5" s="8">
        <f>0.000008547*POWER(1000,3)*B5/1000</f>
        <v>12.820499999999999</v>
      </c>
      <c r="D5" s="8"/>
      <c r="E5" s="30">
        <f t="shared" si="1"/>
        <v>0</v>
      </c>
    </row>
    <row r="6" spans="1:7" x14ac:dyDescent="0.3">
      <c r="A6" s="12" t="s">
        <v>94</v>
      </c>
      <c r="B6" s="39">
        <v>3</v>
      </c>
      <c r="C6" s="8">
        <f>0.000019425*POWER(1000,3)*B6/1000</f>
        <v>58.274999999999999</v>
      </c>
      <c r="D6" s="8"/>
      <c r="E6" s="30">
        <f t="shared" si="1"/>
        <v>0</v>
      </c>
    </row>
    <row r="7" spans="1:7" ht="15" thickBot="1" x14ac:dyDescent="0.35">
      <c r="A7" s="14" t="s">
        <v>95</v>
      </c>
      <c r="B7" s="40">
        <v>4</v>
      </c>
      <c r="C7" s="17">
        <f>0.000019425*POWER(1000,3)*B7/1000</f>
        <v>77.7</v>
      </c>
      <c r="D7" s="17"/>
      <c r="E7" s="31">
        <f t="shared" si="1"/>
        <v>0</v>
      </c>
    </row>
    <row r="9" spans="1:7" x14ac:dyDescent="0.3">
      <c r="E9" s="7"/>
      <c r="F9" s="6"/>
      <c r="G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5" sqref="A1:E5"/>
    </sheetView>
  </sheetViews>
  <sheetFormatPr baseColWidth="10" defaultRowHeight="14.4" x14ac:dyDescent="0.3"/>
  <cols>
    <col min="1" max="1" width="22.21875" customWidth="1"/>
    <col min="2" max="2" width="13.44140625" customWidth="1"/>
    <col min="3" max="3" width="14.33203125" customWidth="1"/>
  </cols>
  <sheetData>
    <row r="1" spans="1:5" ht="15" thickBot="1" x14ac:dyDescent="0.35">
      <c r="A1" s="23" t="s">
        <v>1</v>
      </c>
      <c r="B1" s="27" t="s">
        <v>3</v>
      </c>
      <c r="C1" s="27" t="s">
        <v>145</v>
      </c>
      <c r="D1" s="27" t="s">
        <v>112</v>
      </c>
      <c r="E1" s="28" t="s">
        <v>98</v>
      </c>
    </row>
    <row r="2" spans="1:5" x14ac:dyDescent="0.3">
      <c r="A2" s="19" t="s">
        <v>113</v>
      </c>
      <c r="B2" s="26" t="s">
        <v>135</v>
      </c>
      <c r="C2" s="20">
        <f>0.000213682810551206*PI()*((6/2)*(6/2)-(5/2)*(5/2))*1000</f>
        <v>1.8460869565217428</v>
      </c>
      <c r="D2" s="26"/>
      <c r="E2" s="32">
        <f>D2*C2</f>
        <v>0</v>
      </c>
    </row>
    <row r="3" spans="1:5" x14ac:dyDescent="0.3">
      <c r="A3" s="12" t="s">
        <v>113</v>
      </c>
      <c r="B3" s="8" t="s">
        <v>117</v>
      </c>
      <c r="C3" s="9">
        <f>0.000213682810551206*PI()*((10/2)*(10/2)-(9/2)*(9/2))*1000</f>
        <v>3.1886956521739194</v>
      </c>
      <c r="D3" s="8"/>
      <c r="E3" s="30">
        <f>D3*C3</f>
        <v>0</v>
      </c>
    </row>
    <row r="4" spans="1:5" x14ac:dyDescent="0.3">
      <c r="A4" s="12" t="s">
        <v>113</v>
      </c>
      <c r="B4" s="8" t="s">
        <v>121</v>
      </c>
      <c r="C4" s="9">
        <f>0.000213682810551206*PI()*((12/2)*(12/2)-(11/2)*(11/2))*1000</f>
        <v>3.8600000000000079</v>
      </c>
      <c r="D4" s="8"/>
      <c r="E4" s="30">
        <f t="shared" ref="E4:E5" si="0">D4*C4</f>
        <v>0</v>
      </c>
    </row>
    <row r="5" spans="1:5" ht="15" thickBot="1" x14ac:dyDescent="0.35">
      <c r="A5" s="14" t="s">
        <v>113</v>
      </c>
      <c r="B5" s="17" t="s">
        <v>134</v>
      </c>
      <c r="C5" s="15">
        <f>0.000213682810551206*PI()*((38/2)*(38/2)-(35/2)*(35/2))*1000/1.4</f>
        <v>26.25279503105596</v>
      </c>
      <c r="D5" s="17"/>
      <c r="E5" s="31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F21" sqref="F21"/>
    </sheetView>
  </sheetViews>
  <sheetFormatPr baseColWidth="10" defaultRowHeight="14.4" x14ac:dyDescent="0.3"/>
  <cols>
    <col min="1" max="1" width="29.33203125" customWidth="1"/>
    <col min="3" max="3" width="13.88671875" customWidth="1"/>
    <col min="5" max="5" width="16.33203125" customWidth="1"/>
    <col min="6" max="6" width="14.88671875" customWidth="1"/>
  </cols>
  <sheetData>
    <row r="1" spans="1:8" ht="15" thickBot="1" x14ac:dyDescent="0.35">
      <c r="A1" s="23" t="s">
        <v>1</v>
      </c>
      <c r="B1" s="24" t="s">
        <v>3</v>
      </c>
      <c r="C1" s="24" t="s">
        <v>42</v>
      </c>
      <c r="D1" s="24" t="s">
        <v>40</v>
      </c>
      <c r="E1" s="24" t="s">
        <v>72</v>
      </c>
      <c r="F1" s="24" t="s">
        <v>45</v>
      </c>
      <c r="G1" s="24" t="s">
        <v>5</v>
      </c>
      <c r="H1" s="25" t="s">
        <v>2</v>
      </c>
    </row>
    <row r="2" spans="1:8" x14ac:dyDescent="0.3">
      <c r="A2" s="52" t="s">
        <v>38</v>
      </c>
      <c r="B2" s="53" t="s">
        <v>122</v>
      </c>
      <c r="C2" s="54">
        <v>6.5</v>
      </c>
      <c r="D2" s="53" t="s">
        <v>41</v>
      </c>
      <c r="E2" s="55">
        <f>C2</f>
        <v>6.5</v>
      </c>
      <c r="F2" s="56">
        <v>0.15</v>
      </c>
      <c r="G2" s="55">
        <f t="shared" ref="G2:G7" si="0">F2*E2</f>
        <v>0.97499999999999998</v>
      </c>
      <c r="H2" s="47" t="s">
        <v>43</v>
      </c>
    </row>
    <row r="3" spans="1:8" x14ac:dyDescent="0.3">
      <c r="A3" s="46" t="s">
        <v>38</v>
      </c>
      <c r="B3" s="42" t="s">
        <v>127</v>
      </c>
      <c r="C3" s="44">
        <v>10</v>
      </c>
      <c r="D3" s="42" t="s">
        <v>41</v>
      </c>
      <c r="E3" s="45">
        <v>10</v>
      </c>
      <c r="F3" s="43"/>
      <c r="G3" s="45">
        <f t="shared" si="0"/>
        <v>0</v>
      </c>
      <c r="H3" s="47" t="s">
        <v>43</v>
      </c>
    </row>
    <row r="4" spans="1:8" x14ac:dyDescent="0.3">
      <c r="A4" s="46" t="s">
        <v>38</v>
      </c>
      <c r="B4" s="42" t="s">
        <v>39</v>
      </c>
      <c r="C4" s="44">
        <v>13</v>
      </c>
      <c r="D4" s="42" t="s">
        <v>41</v>
      </c>
      <c r="E4" s="44">
        <f>C4</f>
        <v>13</v>
      </c>
      <c r="F4" s="43"/>
      <c r="G4" s="45">
        <f t="shared" si="0"/>
        <v>0</v>
      </c>
      <c r="H4" s="47" t="s">
        <v>43</v>
      </c>
    </row>
    <row r="5" spans="1:8" x14ac:dyDescent="0.3">
      <c r="A5" s="46" t="s">
        <v>38</v>
      </c>
      <c r="B5" s="42" t="s">
        <v>39</v>
      </c>
      <c r="C5" s="44">
        <v>13</v>
      </c>
      <c r="D5" s="42" t="s">
        <v>41</v>
      </c>
      <c r="E5" s="44">
        <f>C5</f>
        <v>13</v>
      </c>
      <c r="F5" s="42"/>
      <c r="G5" s="44">
        <f t="shared" si="0"/>
        <v>0</v>
      </c>
      <c r="H5" s="47" t="s">
        <v>43</v>
      </c>
    </row>
    <row r="6" spans="1:8" x14ac:dyDescent="0.3">
      <c r="A6" s="46" t="s">
        <v>47</v>
      </c>
      <c r="B6" s="42" t="s">
        <v>122</v>
      </c>
      <c r="C6" s="44">
        <v>6.8</v>
      </c>
      <c r="D6" s="42" t="s">
        <v>44</v>
      </c>
      <c r="E6" s="44">
        <f>C6/90</f>
        <v>7.5555555555555556E-2</v>
      </c>
      <c r="F6" s="42"/>
      <c r="G6" s="44">
        <f t="shared" si="0"/>
        <v>0</v>
      </c>
      <c r="H6" s="47" t="s">
        <v>43</v>
      </c>
    </row>
    <row r="7" spans="1:8" x14ac:dyDescent="0.3">
      <c r="A7" s="46" t="s">
        <v>47</v>
      </c>
      <c r="B7" s="42" t="s">
        <v>39</v>
      </c>
      <c r="C7" s="44">
        <v>9</v>
      </c>
      <c r="D7" s="42" t="s">
        <v>44</v>
      </c>
      <c r="E7" s="44">
        <f>C7/90</f>
        <v>0.1</v>
      </c>
      <c r="F7" s="42"/>
      <c r="G7" s="44">
        <f t="shared" si="0"/>
        <v>0</v>
      </c>
      <c r="H7" s="47" t="s">
        <v>43</v>
      </c>
    </row>
    <row r="8" spans="1:8" x14ac:dyDescent="0.3">
      <c r="A8" s="46" t="s">
        <v>47</v>
      </c>
      <c r="B8" s="42" t="s">
        <v>46</v>
      </c>
      <c r="C8" s="44">
        <v>16</v>
      </c>
      <c r="D8" s="42" t="s">
        <v>44</v>
      </c>
      <c r="E8" s="44">
        <f t="shared" ref="E8:E11" si="1">C8/90</f>
        <v>0.17777777777777778</v>
      </c>
      <c r="F8" s="42"/>
      <c r="G8" s="44">
        <f t="shared" ref="G8:G11" si="2">F8*E8</f>
        <v>0</v>
      </c>
      <c r="H8" s="47" t="s">
        <v>43</v>
      </c>
    </row>
    <row r="9" spans="1:8" x14ac:dyDescent="0.3">
      <c r="A9" s="46" t="s">
        <v>50</v>
      </c>
      <c r="B9" s="42" t="s">
        <v>49</v>
      </c>
      <c r="C9" s="44">
        <v>17</v>
      </c>
      <c r="D9" s="42" t="s">
        <v>44</v>
      </c>
      <c r="E9" s="44">
        <f t="shared" si="1"/>
        <v>0.18888888888888888</v>
      </c>
      <c r="F9" s="42"/>
      <c r="G9" s="44">
        <f t="shared" si="2"/>
        <v>0</v>
      </c>
      <c r="H9" s="47" t="s">
        <v>43</v>
      </c>
    </row>
    <row r="10" spans="1:8" x14ac:dyDescent="0.3">
      <c r="A10" s="46" t="s">
        <v>48</v>
      </c>
      <c r="B10" s="42" t="s">
        <v>49</v>
      </c>
      <c r="C10" s="44">
        <v>9</v>
      </c>
      <c r="D10" s="42" t="s">
        <v>44</v>
      </c>
      <c r="E10" s="44">
        <f t="shared" si="1"/>
        <v>0.1</v>
      </c>
      <c r="F10" s="42"/>
      <c r="G10" s="44">
        <f t="shared" si="2"/>
        <v>0</v>
      </c>
      <c r="H10" s="47" t="s">
        <v>43</v>
      </c>
    </row>
    <row r="11" spans="1:8" ht="15" thickBot="1" x14ac:dyDescent="0.35">
      <c r="A11" s="48" t="s">
        <v>52</v>
      </c>
      <c r="B11" s="49" t="s">
        <v>51</v>
      </c>
      <c r="C11" s="50">
        <v>9</v>
      </c>
      <c r="D11" s="49" t="s">
        <v>44</v>
      </c>
      <c r="E11" s="50">
        <f t="shared" si="1"/>
        <v>0.1</v>
      </c>
      <c r="F11" s="49"/>
      <c r="G11" s="50">
        <f t="shared" si="2"/>
        <v>0</v>
      </c>
      <c r="H11" s="51" t="s">
        <v>43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workbookViewId="0">
      <selection activeCell="H71" sqref="H71"/>
    </sheetView>
  </sheetViews>
  <sheetFormatPr baseColWidth="10" defaultRowHeight="14.4" x14ac:dyDescent="0.3"/>
  <cols>
    <col min="1" max="1" width="19.44140625" customWidth="1"/>
    <col min="3" max="3" width="14.109375" customWidth="1"/>
    <col min="4" max="4" width="23.109375" customWidth="1"/>
    <col min="9" max="9" width="15.6640625" customWidth="1"/>
    <col min="17" max="17" width="21.33203125" customWidth="1"/>
    <col min="19" max="19" width="12.77734375" customWidth="1"/>
    <col min="20" max="20" width="15.88671875" customWidth="1"/>
    <col min="22" max="22" width="12" bestFit="1" customWidth="1"/>
  </cols>
  <sheetData>
    <row r="1" spans="1:23" x14ac:dyDescent="0.3">
      <c r="A1" s="2" t="s">
        <v>6</v>
      </c>
      <c r="S1" s="2" t="s">
        <v>7</v>
      </c>
    </row>
    <row r="2" spans="1:23" x14ac:dyDescent="0.3">
      <c r="A2" t="s">
        <v>8</v>
      </c>
      <c r="G2" t="s">
        <v>9</v>
      </c>
      <c r="M2" t="s">
        <v>10</v>
      </c>
      <c r="S2" s="3">
        <v>5754</v>
      </c>
    </row>
    <row r="3" spans="1:23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G3" t="s">
        <v>16</v>
      </c>
      <c r="H3" t="s">
        <v>17</v>
      </c>
      <c r="I3" t="s">
        <v>14</v>
      </c>
      <c r="J3" t="s">
        <v>15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18</v>
      </c>
      <c r="S3" t="s">
        <v>11</v>
      </c>
      <c r="T3" t="s">
        <v>12</v>
      </c>
      <c r="U3" t="s">
        <v>19</v>
      </c>
      <c r="V3" t="s">
        <v>14</v>
      </c>
      <c r="W3" t="s">
        <v>15</v>
      </c>
    </row>
    <row r="4" spans="1:23" x14ac:dyDescent="0.3">
      <c r="A4">
        <v>10</v>
      </c>
      <c r="B4">
        <v>100</v>
      </c>
      <c r="C4">
        <v>500</v>
      </c>
      <c r="D4" s="1">
        <v>19.79</v>
      </c>
      <c r="E4" s="4">
        <f>D4/(A4*B4*C4)</f>
        <v>3.9579999999999997E-5</v>
      </c>
      <c r="G4">
        <v>10</v>
      </c>
      <c r="H4">
        <v>500</v>
      </c>
      <c r="I4" s="1">
        <v>5.14</v>
      </c>
      <c r="J4" s="4">
        <f>I4/(PI()*G4^2*H4)</f>
        <v>3.2722256299693677E-5</v>
      </c>
      <c r="M4">
        <v>40</v>
      </c>
      <c r="N4">
        <v>40</v>
      </c>
      <c r="O4">
        <v>80</v>
      </c>
      <c r="P4" s="1">
        <v>5.2</v>
      </c>
      <c r="Q4" s="4">
        <f>P4/(M4*N4*O4)</f>
        <v>4.0624999999999998E-5</v>
      </c>
      <c r="S4">
        <v>6</v>
      </c>
      <c r="T4">
        <v>1000</v>
      </c>
      <c r="U4">
        <v>1000</v>
      </c>
      <c r="V4" s="1">
        <v>285.88</v>
      </c>
      <c r="W4" s="4">
        <f>V4/(S4*T4*U4)</f>
        <v>4.7646666666666666E-5</v>
      </c>
    </row>
    <row r="5" spans="1:23" x14ac:dyDescent="0.3">
      <c r="A5">
        <v>10</v>
      </c>
      <c r="B5">
        <v>150</v>
      </c>
      <c r="C5">
        <v>500</v>
      </c>
      <c r="D5" s="1">
        <v>31.49</v>
      </c>
      <c r="E5" s="4">
        <f t="shared" ref="E5:E7" si="0">D5/(A5*B5*C5)</f>
        <v>4.1986666666666662E-5</v>
      </c>
      <c r="G5">
        <v>20</v>
      </c>
      <c r="H5">
        <v>990</v>
      </c>
      <c r="I5" s="1">
        <v>17.13</v>
      </c>
      <c r="J5" s="4">
        <f t="shared" ref="J5:J11" si="1">I5/(PI()*G5^2*H5)</f>
        <v>1.3769314015980641E-5</v>
      </c>
      <c r="M5">
        <v>40</v>
      </c>
      <c r="N5">
        <v>40</v>
      </c>
      <c r="O5">
        <v>160</v>
      </c>
      <c r="P5" s="1">
        <v>9.18</v>
      </c>
      <c r="Q5" s="4">
        <f t="shared" ref="Q5:Q10" si="2">P5/(M5*N5*O5)</f>
        <v>3.5859374999999996E-5</v>
      </c>
      <c r="S5">
        <v>8</v>
      </c>
      <c r="T5">
        <v>1000</v>
      </c>
      <c r="U5">
        <v>1000</v>
      </c>
      <c r="V5" s="1">
        <v>379.84</v>
      </c>
      <c r="W5" s="4">
        <f t="shared" ref="W5:W6" si="3">V5/(S5*T5*U5)</f>
        <v>4.7479999999999999E-5</v>
      </c>
    </row>
    <row r="6" spans="1:23" x14ac:dyDescent="0.3">
      <c r="A6">
        <v>10</v>
      </c>
      <c r="B6">
        <v>300</v>
      </c>
      <c r="C6">
        <v>500</v>
      </c>
      <c r="D6" s="1">
        <v>57.83</v>
      </c>
      <c r="E6" s="4">
        <f t="shared" si="0"/>
        <v>3.8553333333333329E-5</v>
      </c>
      <c r="G6">
        <v>25</v>
      </c>
      <c r="H6">
        <v>990</v>
      </c>
      <c r="I6" s="1">
        <v>26.99</v>
      </c>
      <c r="J6" s="4">
        <f t="shared" si="1"/>
        <v>1.388474154036446E-5</v>
      </c>
      <c r="M6">
        <v>40</v>
      </c>
      <c r="N6">
        <v>40</v>
      </c>
      <c r="O6">
        <v>500</v>
      </c>
      <c r="P6" s="1">
        <v>25.09</v>
      </c>
      <c r="Q6" s="4">
        <f t="shared" si="2"/>
        <v>3.1362499999999997E-5</v>
      </c>
      <c r="S6">
        <v>10</v>
      </c>
      <c r="T6">
        <v>1000</v>
      </c>
      <c r="U6">
        <v>1000</v>
      </c>
      <c r="V6" s="1">
        <v>473.8</v>
      </c>
      <c r="W6" s="4">
        <f t="shared" si="3"/>
        <v>4.7380000000000004E-5</v>
      </c>
    </row>
    <row r="7" spans="1:23" x14ac:dyDescent="0.3">
      <c r="A7">
        <v>10</v>
      </c>
      <c r="B7">
        <v>500</v>
      </c>
      <c r="C7">
        <v>500</v>
      </c>
      <c r="D7" s="1">
        <v>96.39</v>
      </c>
      <c r="E7" s="4">
        <f t="shared" si="0"/>
        <v>3.8556000000000002E-5</v>
      </c>
      <c r="G7">
        <v>30</v>
      </c>
      <c r="H7">
        <v>990</v>
      </c>
      <c r="I7" s="1">
        <v>34.28</v>
      </c>
      <c r="J7" s="4">
        <f t="shared" si="1"/>
        <v>1.2246535239484113E-5</v>
      </c>
      <c r="M7">
        <v>50</v>
      </c>
      <c r="N7">
        <v>50</v>
      </c>
      <c r="O7">
        <v>500</v>
      </c>
      <c r="P7" s="1">
        <v>41.62</v>
      </c>
      <c r="Q7" s="4">
        <f t="shared" si="2"/>
        <v>3.3296000000000001E-5</v>
      </c>
      <c r="V7" t="s">
        <v>20</v>
      </c>
      <c r="W7" s="4">
        <f>AVERAGE(W4:W6)</f>
        <v>4.7502222222222225E-5</v>
      </c>
    </row>
    <row r="8" spans="1:23" x14ac:dyDescent="0.3">
      <c r="A8">
        <v>32</v>
      </c>
      <c r="B8">
        <v>32</v>
      </c>
      <c r="C8">
        <v>550</v>
      </c>
      <c r="D8" s="1">
        <v>23.26</v>
      </c>
      <c r="E8" s="4">
        <f>D8/(A8*B8*C8)</f>
        <v>4.1299715909090912E-5</v>
      </c>
      <c r="G8">
        <v>40</v>
      </c>
      <c r="H8">
        <v>160</v>
      </c>
      <c r="I8" s="1">
        <v>10.92</v>
      </c>
      <c r="J8" s="4">
        <f t="shared" si="1"/>
        <v>1.357790608252732E-5</v>
      </c>
      <c r="M8">
        <v>50</v>
      </c>
      <c r="N8">
        <v>50</v>
      </c>
      <c r="O8">
        <v>100</v>
      </c>
      <c r="P8" s="1">
        <v>9.18</v>
      </c>
      <c r="Q8" s="4">
        <f t="shared" si="2"/>
        <v>3.6720000000000001E-5</v>
      </c>
    </row>
    <row r="9" spans="1:23" x14ac:dyDescent="0.3">
      <c r="A9">
        <v>32</v>
      </c>
      <c r="B9">
        <v>50</v>
      </c>
      <c r="C9">
        <v>360</v>
      </c>
      <c r="D9" s="1">
        <v>20.56</v>
      </c>
      <c r="E9" s="4">
        <f t="shared" ref="E9:E15" si="4">D9/(A9*B9*C9)</f>
        <v>3.5694444444444444E-5</v>
      </c>
      <c r="G9">
        <v>40</v>
      </c>
      <c r="H9">
        <v>500</v>
      </c>
      <c r="I9" s="1">
        <v>25.7</v>
      </c>
      <c r="J9" s="4">
        <f t="shared" si="1"/>
        <v>1.0225705093654274E-5</v>
      </c>
      <c r="M9">
        <v>60</v>
      </c>
      <c r="N9">
        <v>60</v>
      </c>
      <c r="O9">
        <v>500</v>
      </c>
      <c r="P9" s="1">
        <v>57.83</v>
      </c>
      <c r="Q9" s="4">
        <f t="shared" si="2"/>
        <v>3.2127777777777776E-5</v>
      </c>
    </row>
    <row r="10" spans="1:23" x14ac:dyDescent="0.3">
      <c r="A10">
        <v>32</v>
      </c>
      <c r="B10">
        <v>50</v>
      </c>
      <c r="C10">
        <v>550</v>
      </c>
      <c r="D10" s="1">
        <v>31.82</v>
      </c>
      <c r="E10" s="4">
        <f t="shared" si="4"/>
        <v>3.6159090909090908E-5</v>
      </c>
      <c r="G10">
        <v>40</v>
      </c>
      <c r="H10">
        <v>800</v>
      </c>
      <c r="I10" s="1">
        <v>43.7</v>
      </c>
      <c r="J10" s="4">
        <f t="shared" si="1"/>
        <v>1.0867298457993479E-5</v>
      </c>
      <c r="M10">
        <v>60</v>
      </c>
      <c r="N10">
        <v>60</v>
      </c>
      <c r="O10">
        <v>995</v>
      </c>
      <c r="P10" s="1">
        <v>119.95</v>
      </c>
      <c r="Q10" s="4">
        <f t="shared" si="2"/>
        <v>3.348687883863763E-5</v>
      </c>
    </row>
    <row r="11" spans="1:23" x14ac:dyDescent="0.3">
      <c r="A11">
        <v>32</v>
      </c>
      <c r="B11">
        <v>60</v>
      </c>
      <c r="C11">
        <v>265</v>
      </c>
      <c r="D11" s="1">
        <v>15.91</v>
      </c>
      <c r="E11" s="4">
        <f t="shared" si="4"/>
        <v>3.1269654088050312E-5</v>
      </c>
      <c r="G11">
        <v>50</v>
      </c>
      <c r="H11">
        <v>150</v>
      </c>
      <c r="I11" s="1">
        <v>14.69</v>
      </c>
      <c r="J11" s="4">
        <f t="shared" si="1"/>
        <v>1.2469259274773026E-5</v>
      </c>
      <c r="P11" t="s">
        <v>20</v>
      </c>
      <c r="Q11" s="4">
        <f>AVERAGE(Q4:Q10)</f>
        <v>3.478250451663077E-5</v>
      </c>
    </row>
    <row r="12" spans="1:23" x14ac:dyDescent="0.3">
      <c r="A12">
        <v>40</v>
      </c>
      <c r="B12">
        <v>120</v>
      </c>
      <c r="C12">
        <v>120</v>
      </c>
      <c r="D12" s="1">
        <v>21.85</v>
      </c>
      <c r="E12" s="4">
        <f t="shared" si="4"/>
        <v>3.7934027777777779E-5</v>
      </c>
      <c r="I12" t="s">
        <v>20</v>
      </c>
      <c r="J12" s="4">
        <f>AVERAGE(J4:J11)</f>
        <v>1.4970377000558874E-5</v>
      </c>
    </row>
    <row r="13" spans="1:23" x14ac:dyDescent="0.3">
      <c r="A13">
        <v>50</v>
      </c>
      <c r="B13">
        <v>100</v>
      </c>
      <c r="C13">
        <v>100</v>
      </c>
      <c r="D13" s="1">
        <v>17.989999999999998</v>
      </c>
      <c r="E13" s="4">
        <f t="shared" si="4"/>
        <v>3.5979999999999998E-5</v>
      </c>
      <c r="J13" s="4"/>
    </row>
    <row r="14" spans="1:23" x14ac:dyDescent="0.3">
      <c r="A14">
        <v>50</v>
      </c>
      <c r="B14">
        <v>100</v>
      </c>
      <c r="C14">
        <v>300</v>
      </c>
      <c r="D14" s="1">
        <v>53.98</v>
      </c>
      <c r="E14" s="4">
        <f t="shared" si="4"/>
        <v>3.5986666666666665E-5</v>
      </c>
    </row>
    <row r="15" spans="1:23" x14ac:dyDescent="0.3">
      <c r="A15">
        <v>50</v>
      </c>
      <c r="B15">
        <v>100</v>
      </c>
      <c r="C15">
        <v>500</v>
      </c>
      <c r="D15" s="1">
        <v>83.54</v>
      </c>
      <c r="E15" s="4">
        <f t="shared" si="4"/>
        <v>3.3416E-5</v>
      </c>
      <c r="M15" t="s">
        <v>10</v>
      </c>
      <c r="N15" t="s">
        <v>21</v>
      </c>
      <c r="S15" t="s">
        <v>10</v>
      </c>
      <c r="T15" t="s">
        <v>21</v>
      </c>
      <c r="U15" t="s">
        <v>116</v>
      </c>
    </row>
    <row r="16" spans="1:23" x14ac:dyDescent="0.3">
      <c r="D16" t="s">
        <v>20</v>
      </c>
      <c r="E16" s="4">
        <f>AVERAGE(E4:E15)</f>
        <v>3.7201299982926756E-5</v>
      </c>
      <c r="N16" t="s">
        <v>22</v>
      </c>
      <c r="O16" t="s">
        <v>13</v>
      </c>
      <c r="P16" t="s">
        <v>23</v>
      </c>
      <c r="Q16" t="s">
        <v>15</v>
      </c>
      <c r="S16" t="s">
        <v>114</v>
      </c>
      <c r="T16" t="s">
        <v>115</v>
      </c>
      <c r="U16" t="s">
        <v>119</v>
      </c>
      <c r="V16" t="s">
        <v>118</v>
      </c>
    </row>
    <row r="17" spans="1:22" x14ac:dyDescent="0.3">
      <c r="N17">
        <v>5</v>
      </c>
      <c r="O17">
        <v>500</v>
      </c>
      <c r="P17" s="1">
        <v>1.61</v>
      </c>
      <c r="Q17" s="5">
        <f>P17/(PI()*(N17/2)^2*O17)</f>
        <v>1.6399325336188895E-4</v>
      </c>
      <c r="S17">
        <v>40</v>
      </c>
      <c r="T17">
        <v>30</v>
      </c>
      <c r="U17" s="1">
        <v>39.020000000000003</v>
      </c>
      <c r="V17" s="4">
        <f>U17/(PI()*((S17/2)*(S17/2)-(T17/2)*(T17/2))*1000)</f>
        <v>7.0974010050808657E-5</v>
      </c>
    </row>
    <row r="18" spans="1:22" x14ac:dyDescent="0.3">
      <c r="N18">
        <v>10</v>
      </c>
      <c r="O18">
        <v>500</v>
      </c>
      <c r="P18" s="1">
        <v>4.5</v>
      </c>
      <c r="Q18" s="5">
        <f>P18/(PI()*(N18/2)^2*O18)</f>
        <v>1.1459155902616463E-4</v>
      </c>
      <c r="S18">
        <v>50</v>
      </c>
      <c r="T18">
        <v>30</v>
      </c>
      <c r="U18" s="1">
        <v>72.239999999999995</v>
      </c>
      <c r="V18" s="4">
        <f>U18/(PI()*((S18/2)*(S18/2)-(T18/2)*(T18/2))*1000)</f>
        <v>5.7486765444792583E-5</v>
      </c>
    </row>
    <row r="19" spans="1:22" x14ac:dyDescent="0.3">
      <c r="A19" t="s">
        <v>24</v>
      </c>
      <c r="B19" t="s">
        <v>21</v>
      </c>
      <c r="N19">
        <v>15</v>
      </c>
      <c r="O19">
        <v>500</v>
      </c>
      <c r="P19" s="1">
        <v>4.8</v>
      </c>
      <c r="Q19" s="5">
        <f t="shared" ref="Q19:Q21" si="5">P19/(PI()*(N19/2)^2*O19)</f>
        <v>5.432488724203361E-5</v>
      </c>
      <c r="S19">
        <v>50</v>
      </c>
      <c r="T19">
        <v>40</v>
      </c>
      <c r="U19" s="1">
        <v>37.700000000000003</v>
      </c>
      <c r="V19" s="4">
        <f>U19/(PI()*((S19/2)*(S19/2)-(T19/2)*(T19/2))*1000)</f>
        <v>5.333458981835071E-5</v>
      </c>
    </row>
    <row r="20" spans="1:22" x14ac:dyDescent="0.3">
      <c r="B20" t="s">
        <v>22</v>
      </c>
      <c r="C20" t="s">
        <v>13</v>
      </c>
      <c r="D20" t="s">
        <v>23</v>
      </c>
      <c r="E20" t="s">
        <v>15</v>
      </c>
      <c r="N20">
        <v>18</v>
      </c>
      <c r="O20">
        <v>500</v>
      </c>
      <c r="P20" s="1">
        <v>6.36</v>
      </c>
      <c r="Q20" s="5">
        <f t="shared" si="5"/>
        <v>4.9986441385898987E-5</v>
      </c>
      <c r="S20">
        <v>60</v>
      </c>
      <c r="T20">
        <v>50</v>
      </c>
      <c r="U20" s="1">
        <v>41.96</v>
      </c>
      <c r="V20" s="4">
        <f>U20/(PI()*((S20/2)*(S20/2)-(T20/2)*(T20/2))*1000)</f>
        <v>4.8568301179170389E-5</v>
      </c>
    </row>
    <row r="21" spans="1:22" x14ac:dyDescent="0.3">
      <c r="B21">
        <v>10</v>
      </c>
      <c r="C21">
        <v>500</v>
      </c>
      <c r="D21" s="1">
        <v>5.14</v>
      </c>
      <c r="E21" s="5">
        <f t="shared" ref="E21:E27" si="6">D21/(PI()*(B21/2)^2*C21)</f>
        <v>1.3088902519877471E-4</v>
      </c>
      <c r="N21">
        <v>22</v>
      </c>
      <c r="O21">
        <v>500</v>
      </c>
      <c r="P21" s="1">
        <v>8.4</v>
      </c>
      <c r="Q21" s="5">
        <f t="shared" si="5"/>
        <v>4.4195091635435405E-5</v>
      </c>
      <c r="S21">
        <v>100</v>
      </c>
      <c r="T21">
        <v>60</v>
      </c>
      <c r="U21" s="1">
        <v>330</v>
      </c>
      <c r="V21" s="4">
        <f>U21/(PI()*((S21/2)*(S21/2)-(T21/2)*(T21/2))*1000)</f>
        <v>6.5651414025406826E-5</v>
      </c>
    </row>
    <row r="22" spans="1:22" x14ac:dyDescent="0.3">
      <c r="B22">
        <v>20</v>
      </c>
      <c r="C22">
        <v>500</v>
      </c>
      <c r="D22" s="1">
        <v>8.35</v>
      </c>
      <c r="E22" s="5">
        <f t="shared" si="6"/>
        <v>5.3157750992693033E-5</v>
      </c>
      <c r="P22" t="s">
        <v>20</v>
      </c>
      <c r="Q22" s="5">
        <f>AVERAGE(Q17:Q21)</f>
        <v>8.541824653028432E-5</v>
      </c>
      <c r="U22" t="s">
        <v>20</v>
      </c>
      <c r="V22" s="4">
        <f>AVERAGE(V17:V21)</f>
        <v>5.9203016103705834E-5</v>
      </c>
    </row>
    <row r="23" spans="1:22" x14ac:dyDescent="0.3">
      <c r="B23">
        <v>20</v>
      </c>
      <c r="C23">
        <v>990</v>
      </c>
      <c r="D23" s="1">
        <v>17.13</v>
      </c>
      <c r="E23" s="5">
        <f t="shared" si="6"/>
        <v>5.5077256063922563E-5</v>
      </c>
      <c r="P23" s="1"/>
      <c r="S23">
        <v>6060</v>
      </c>
      <c r="T23" t="s">
        <v>120</v>
      </c>
    </row>
    <row r="24" spans="1:22" x14ac:dyDescent="0.3">
      <c r="B24">
        <v>25</v>
      </c>
      <c r="C24">
        <v>500</v>
      </c>
      <c r="D24" s="1">
        <v>13.11</v>
      </c>
      <c r="E24" s="5">
        <f t="shared" si="6"/>
        <v>5.3414945380729545E-5</v>
      </c>
      <c r="S24">
        <v>12</v>
      </c>
      <c r="T24">
        <v>11</v>
      </c>
      <c r="U24" s="1">
        <f>1.93*2</f>
        <v>3.86</v>
      </c>
      <c r="V24" s="4">
        <f>U24/(PI()*((S24/2)*(S24/2)-(T24/2)*(T24/2))*1000)</f>
        <v>2.1368281055120556E-4</v>
      </c>
    </row>
    <row r="25" spans="1:22" x14ac:dyDescent="0.3">
      <c r="B25">
        <v>25</v>
      </c>
      <c r="C25">
        <v>990</v>
      </c>
      <c r="D25" s="1">
        <v>26.99</v>
      </c>
      <c r="E25" s="5">
        <f t="shared" si="6"/>
        <v>5.5538966161457841E-5</v>
      </c>
      <c r="S25">
        <v>50</v>
      </c>
      <c r="T25">
        <v>46</v>
      </c>
      <c r="U25" s="1">
        <f>11.26*2</f>
        <v>22.52</v>
      </c>
      <c r="V25" s="4">
        <f>U25/(PI()*((S25/2)*(S25/2)-(T25/2)*(T25/2))*1000)</f>
        <v>7.4670194133947567E-5</v>
      </c>
    </row>
    <row r="26" spans="1:22" x14ac:dyDescent="0.3">
      <c r="B26">
        <v>30</v>
      </c>
      <c r="C26">
        <v>500</v>
      </c>
      <c r="D26" s="1">
        <v>16.059999999999999</v>
      </c>
      <c r="E26" s="5">
        <f t="shared" si="6"/>
        <v>4.5440504640992695E-5</v>
      </c>
      <c r="U26" s="1"/>
      <c r="V26" s="4"/>
    </row>
    <row r="27" spans="1:22" x14ac:dyDescent="0.3">
      <c r="B27">
        <v>35</v>
      </c>
      <c r="C27">
        <v>500</v>
      </c>
      <c r="D27" s="1">
        <v>16.059999999999999</v>
      </c>
      <c r="E27" s="5">
        <f t="shared" si="6"/>
        <v>3.338486055256606E-5</v>
      </c>
      <c r="U27" s="1"/>
      <c r="V27" s="4"/>
    </row>
    <row r="28" spans="1:22" x14ac:dyDescent="0.3">
      <c r="D28" t="s">
        <v>20</v>
      </c>
      <c r="E28" s="5">
        <f>AVERAGE(E21:E27)</f>
        <v>6.0986186998733781E-5</v>
      </c>
      <c r="U28" s="1"/>
      <c r="V28" s="4"/>
    </row>
    <row r="29" spans="1:22" x14ac:dyDescent="0.3">
      <c r="V29" s="4"/>
    </row>
    <row r="30" spans="1:22" x14ac:dyDescent="0.3">
      <c r="A30" s="2" t="s">
        <v>25</v>
      </c>
      <c r="G30" s="2" t="s">
        <v>26</v>
      </c>
      <c r="N30" s="2" t="s">
        <v>28</v>
      </c>
    </row>
    <row r="31" spans="1:22" x14ac:dyDescent="0.3">
      <c r="A31" t="s">
        <v>27</v>
      </c>
      <c r="B31" t="s">
        <v>21</v>
      </c>
      <c r="G31" t="s">
        <v>27</v>
      </c>
      <c r="H31" t="s">
        <v>21</v>
      </c>
      <c r="N31" t="s">
        <v>29</v>
      </c>
      <c r="O31" t="s">
        <v>21</v>
      </c>
    </row>
    <row r="32" spans="1:22" x14ac:dyDescent="0.3">
      <c r="B32" t="s">
        <v>22</v>
      </c>
      <c r="C32" t="s">
        <v>13</v>
      </c>
      <c r="D32" t="s">
        <v>23</v>
      </c>
      <c r="E32" t="s">
        <v>15</v>
      </c>
      <c r="H32" t="s">
        <v>22</v>
      </c>
      <c r="I32" t="s">
        <v>13</v>
      </c>
      <c r="J32" t="s">
        <v>23</v>
      </c>
      <c r="K32" t="s">
        <v>15</v>
      </c>
      <c r="O32" t="s">
        <v>22</v>
      </c>
      <c r="P32" t="s">
        <v>13</v>
      </c>
      <c r="Q32" t="s">
        <v>23</v>
      </c>
      <c r="R32" t="s">
        <v>91</v>
      </c>
    </row>
    <row r="33" spans="1:18" x14ac:dyDescent="0.3">
      <c r="B33">
        <v>10</v>
      </c>
      <c r="C33">
        <v>1000</v>
      </c>
      <c r="D33" s="1">
        <v>20.5</v>
      </c>
      <c r="E33" s="5">
        <f t="shared" ref="E33:E39" si="7">D33/(PI()*(B33/2)^2*C33)</f>
        <v>2.6101410667070835E-4</v>
      </c>
      <c r="H33">
        <v>10</v>
      </c>
      <c r="I33">
        <v>300</v>
      </c>
      <c r="J33" s="1">
        <v>9.41</v>
      </c>
      <c r="K33" s="5">
        <f t="shared" ref="K33:K36" si="8">J33/(PI()*(H33/2)^2*I33)</f>
        <v>3.9937280386526271E-4</v>
      </c>
      <c r="O33">
        <v>16</v>
      </c>
      <c r="P33">
        <v>1000</v>
      </c>
      <c r="Q33" s="1">
        <v>5.89</v>
      </c>
      <c r="R33" s="5">
        <f t="shared" ref="R33:R36" si="9">Q33/(PI()*(O33/2)^2*P33)</f>
        <v>2.9294456712851987E-5</v>
      </c>
    </row>
    <row r="34" spans="1:18" x14ac:dyDescent="0.3">
      <c r="B34">
        <v>16</v>
      </c>
      <c r="C34">
        <v>1000</v>
      </c>
      <c r="D34" s="1">
        <v>44.5</v>
      </c>
      <c r="E34" s="5">
        <f t="shared" si="7"/>
        <v>2.2132484273716698E-4</v>
      </c>
      <c r="H34">
        <v>16</v>
      </c>
      <c r="I34">
        <v>300</v>
      </c>
      <c r="J34" s="1">
        <v>15.77</v>
      </c>
      <c r="K34" s="5">
        <f t="shared" si="8"/>
        <v>2.6144515130824893E-4</v>
      </c>
      <c r="O34">
        <v>20</v>
      </c>
      <c r="P34">
        <v>1000</v>
      </c>
      <c r="Q34" s="1">
        <v>9.23</v>
      </c>
      <c r="R34" s="5">
        <f t="shared" si="9"/>
        <v>2.938000249476388E-5</v>
      </c>
    </row>
    <row r="35" spans="1:18" x14ac:dyDescent="0.3">
      <c r="B35">
        <v>20</v>
      </c>
      <c r="C35">
        <v>1000</v>
      </c>
      <c r="D35" s="1">
        <v>66.75</v>
      </c>
      <c r="E35" s="5">
        <f t="shared" si="7"/>
        <v>2.1247184902768027E-4</v>
      </c>
      <c r="H35">
        <v>20</v>
      </c>
      <c r="I35">
        <v>300</v>
      </c>
      <c r="J35" s="1">
        <v>23.4</v>
      </c>
      <c r="K35" s="5">
        <f t="shared" si="8"/>
        <v>2.4828171122335673E-4</v>
      </c>
      <c r="O35">
        <v>25</v>
      </c>
      <c r="P35">
        <v>1000</v>
      </c>
      <c r="Q35" s="1">
        <v>14.44</v>
      </c>
      <c r="R35" s="5">
        <f t="shared" si="9"/>
        <v>2.9416926441561197E-5</v>
      </c>
    </row>
    <row r="36" spans="1:18" x14ac:dyDescent="0.3">
      <c r="B36">
        <v>40</v>
      </c>
      <c r="C36">
        <v>1000</v>
      </c>
      <c r="D36" s="1">
        <v>251.5</v>
      </c>
      <c r="E36" s="5">
        <f t="shared" si="7"/>
        <v>2.0013734093805838E-4</v>
      </c>
      <c r="H36">
        <v>40</v>
      </c>
      <c r="I36">
        <v>300</v>
      </c>
      <c r="J36" s="1">
        <v>81.7</v>
      </c>
      <c r="K36" s="5">
        <f t="shared" si="8"/>
        <v>2.1671598084346415E-4</v>
      </c>
      <c r="O36">
        <v>40</v>
      </c>
      <c r="P36">
        <v>1000</v>
      </c>
      <c r="Q36" s="1">
        <v>34.869999999999997</v>
      </c>
      <c r="R36" s="5">
        <f t="shared" si="9"/>
        <v>2.7748664328071946E-5</v>
      </c>
    </row>
    <row r="37" spans="1:18" x14ac:dyDescent="0.3">
      <c r="B37">
        <v>50</v>
      </c>
      <c r="C37">
        <v>1000</v>
      </c>
      <c r="D37" s="1">
        <v>390</v>
      </c>
      <c r="E37" s="5">
        <f t="shared" si="7"/>
        <v>1.9862536897868538E-4</v>
      </c>
      <c r="J37" t="s">
        <v>20</v>
      </c>
      <c r="K37" s="5">
        <f>AVERAGE(K33:K36)</f>
        <v>2.8145391181008314E-4</v>
      </c>
      <c r="O37">
        <v>60</v>
      </c>
      <c r="P37">
        <v>1000</v>
      </c>
      <c r="Q37" s="1">
        <v>83.14</v>
      </c>
      <c r="R37" s="5">
        <f t="shared" ref="R37:R38" si="10">Q37/(PI()*(O37/2)^2*P37)</f>
        <v>2.9404759930355956E-5</v>
      </c>
    </row>
    <row r="38" spans="1:18" x14ac:dyDescent="0.3">
      <c r="B38">
        <v>60</v>
      </c>
      <c r="C38">
        <v>1000</v>
      </c>
      <c r="D38" s="1">
        <v>560</v>
      </c>
      <c r="E38" s="5">
        <f t="shared" si="7"/>
        <v>1.9805948473658087E-4</v>
      </c>
      <c r="J38" s="1"/>
      <c r="K38" s="5"/>
      <c r="O38">
        <v>80</v>
      </c>
      <c r="P38">
        <v>1000</v>
      </c>
      <c r="Q38" s="1">
        <v>139.55000000000001</v>
      </c>
      <c r="R38" s="5">
        <f t="shared" si="10"/>
        <v>2.7762590385592491E-5</v>
      </c>
    </row>
    <row r="39" spans="1:18" x14ac:dyDescent="0.3">
      <c r="B39">
        <v>80</v>
      </c>
      <c r="C39">
        <v>1000</v>
      </c>
      <c r="D39" s="1">
        <v>992.5</v>
      </c>
      <c r="E39" s="5">
        <f t="shared" si="7"/>
        <v>1.9745160127338264E-4</v>
      </c>
      <c r="J39" s="1"/>
      <c r="K39" s="5"/>
      <c r="Q39" t="s">
        <v>20</v>
      </c>
      <c r="R39" s="5">
        <f>AVERAGE(R33:R38)</f>
        <v>2.8834566715532905E-5</v>
      </c>
    </row>
    <row r="40" spans="1:18" x14ac:dyDescent="0.3">
      <c r="D40" t="s">
        <v>20</v>
      </c>
      <c r="E40" s="5">
        <f>AVERAGE(E33:E39)</f>
        <v>2.1272637062318042E-4</v>
      </c>
      <c r="K40" s="5"/>
    </row>
    <row r="43" spans="1:18" x14ac:dyDescent="0.3">
      <c r="A43" s="2" t="s">
        <v>30</v>
      </c>
    </row>
    <row r="44" spans="1:18" x14ac:dyDescent="0.3">
      <c r="A44" t="s">
        <v>31</v>
      </c>
      <c r="B44" t="s">
        <v>32</v>
      </c>
    </row>
    <row r="45" spans="1:18" x14ac:dyDescent="0.3">
      <c r="A45" t="s">
        <v>11</v>
      </c>
      <c r="B45" t="s">
        <v>12</v>
      </c>
      <c r="C45" t="s">
        <v>13</v>
      </c>
      <c r="D45" t="s">
        <v>14</v>
      </c>
      <c r="E45" t="s">
        <v>15</v>
      </c>
    </row>
    <row r="46" spans="1:18" x14ac:dyDescent="0.3">
      <c r="A46">
        <v>1.5</v>
      </c>
      <c r="B46">
        <v>1000</v>
      </c>
      <c r="C46">
        <v>1000</v>
      </c>
      <c r="D46" s="1">
        <v>34.5</v>
      </c>
      <c r="E46" s="4">
        <f>D46/(A46*B46*C46)</f>
        <v>2.3E-5</v>
      </c>
    </row>
    <row r="48" spans="1:18" x14ac:dyDescent="0.3">
      <c r="A48" t="s">
        <v>53</v>
      </c>
      <c r="G48" t="s">
        <v>61</v>
      </c>
    </row>
    <row r="49" spans="1:10" x14ac:dyDescent="0.3">
      <c r="A49" t="s">
        <v>1</v>
      </c>
      <c r="B49" t="s">
        <v>23</v>
      </c>
      <c r="C49" t="s">
        <v>54</v>
      </c>
      <c r="D49" t="s">
        <v>90</v>
      </c>
      <c r="G49" t="s">
        <v>1</v>
      </c>
      <c r="H49" t="s">
        <v>65</v>
      </c>
      <c r="I49" t="s">
        <v>67</v>
      </c>
      <c r="J49" t="s">
        <v>15</v>
      </c>
    </row>
    <row r="50" spans="1:10" x14ac:dyDescent="0.3">
      <c r="A50" t="s">
        <v>56</v>
      </c>
      <c r="B50" s="1">
        <v>86.4</v>
      </c>
      <c r="C50">
        <f>60*25*3020</f>
        <v>4530000</v>
      </c>
      <c r="D50" s="4">
        <f>B50/C50</f>
        <v>1.9072847682119207E-5</v>
      </c>
      <c r="G50" t="s">
        <v>62</v>
      </c>
      <c r="H50" s="6">
        <v>1.1000000000000001</v>
      </c>
      <c r="I50" s="4">
        <f>7770/(POWER(1000,3))</f>
        <v>7.7700000000000001E-6</v>
      </c>
      <c r="J50" s="4">
        <f>I50*H50</f>
        <v>8.5470000000000013E-6</v>
      </c>
    </row>
    <row r="51" spans="1:10" x14ac:dyDescent="0.3">
      <c r="A51" t="s">
        <v>55</v>
      </c>
      <c r="B51" s="1">
        <v>60</v>
      </c>
      <c r="C51">
        <f>PI()*10*10*12000</f>
        <v>3769911.1843077517</v>
      </c>
      <c r="D51" s="4">
        <f t="shared" ref="D51:D60" si="11">B51/C51</f>
        <v>1.5915494309189534E-5</v>
      </c>
      <c r="G51" t="s">
        <v>63</v>
      </c>
      <c r="H51" s="6">
        <v>2.5</v>
      </c>
      <c r="I51" s="4">
        <f t="shared" ref="I51:I52" si="12">7770/(POWER(1000,3))</f>
        <v>7.7700000000000001E-6</v>
      </c>
      <c r="J51" s="4">
        <f t="shared" ref="J51:J53" si="13">I51*H51</f>
        <v>1.9425000000000001E-5</v>
      </c>
    </row>
    <row r="52" spans="1:10" x14ac:dyDescent="0.3">
      <c r="A52" t="s">
        <v>57</v>
      </c>
      <c r="B52" s="1">
        <v>28.32</v>
      </c>
      <c r="C52">
        <f>PI()*17.5*17.5*3000</f>
        <v>2886338.2504856223</v>
      </c>
      <c r="D52" s="4">
        <f t="shared" si="11"/>
        <v>9.8117398386121925E-6</v>
      </c>
      <c r="G52" t="s">
        <v>64</v>
      </c>
      <c r="H52" s="6">
        <v>2.5</v>
      </c>
      <c r="I52" s="4">
        <f t="shared" si="12"/>
        <v>7.7700000000000001E-6</v>
      </c>
      <c r="J52" s="4">
        <f t="shared" si="13"/>
        <v>1.9425000000000001E-5</v>
      </c>
    </row>
    <row r="53" spans="1:10" x14ac:dyDescent="0.3">
      <c r="A53" t="s">
        <v>58</v>
      </c>
      <c r="B53" s="1">
        <v>35.4</v>
      </c>
      <c r="C53">
        <f>80*15*3000</f>
        <v>3600000</v>
      </c>
      <c r="D53" s="4">
        <f t="shared" si="11"/>
        <v>9.8333333333333329E-6</v>
      </c>
      <c r="G53" t="s">
        <v>66</v>
      </c>
      <c r="H53" s="6">
        <v>18</v>
      </c>
      <c r="I53" s="4">
        <f>2700/(POWER(1000,3))</f>
        <v>2.7E-6</v>
      </c>
      <c r="J53" s="4">
        <f t="shared" si="13"/>
        <v>4.8600000000000002E-5</v>
      </c>
    </row>
    <row r="54" spans="1:10" x14ac:dyDescent="0.3">
      <c r="A54" t="s">
        <v>58</v>
      </c>
      <c r="B54" s="1">
        <v>81.599999999999994</v>
      </c>
      <c r="C54">
        <f>70*20*6000</f>
        <v>8400000</v>
      </c>
      <c r="D54" s="4">
        <f t="shared" si="11"/>
        <v>9.7142857142857135E-6</v>
      </c>
    </row>
    <row r="55" spans="1:10" x14ac:dyDescent="0.3">
      <c r="A55" t="s">
        <v>59</v>
      </c>
      <c r="B55" s="1">
        <v>8</v>
      </c>
      <c r="C55">
        <f>30*30*100</f>
        <v>90000</v>
      </c>
      <c r="D55" s="4">
        <f t="shared" ref="D55" si="14">B55/C55</f>
        <v>8.8888888888888893E-5</v>
      </c>
      <c r="I55" s="4"/>
    </row>
    <row r="56" spans="1:10" x14ac:dyDescent="0.3">
      <c r="A56" t="s">
        <v>59</v>
      </c>
      <c r="B56" s="1">
        <v>50</v>
      </c>
      <c r="C56">
        <f>140*50*285</f>
        <v>1995000</v>
      </c>
      <c r="D56" s="4">
        <f t="shared" si="11"/>
        <v>2.5062656641604011E-5</v>
      </c>
    </row>
    <row r="57" spans="1:10" x14ac:dyDescent="0.3">
      <c r="A57" t="s">
        <v>59</v>
      </c>
      <c r="B57" s="1">
        <v>46.2</v>
      </c>
      <c r="C57">
        <f>160*50*260</f>
        <v>2080000</v>
      </c>
      <c r="D57" s="4">
        <f t="shared" si="11"/>
        <v>2.2211538461538464E-5</v>
      </c>
    </row>
    <row r="58" spans="1:10" x14ac:dyDescent="0.3">
      <c r="A58" t="s">
        <v>60</v>
      </c>
      <c r="B58" s="1">
        <v>28</v>
      </c>
      <c r="C58">
        <f>PI()*65*65*103</f>
        <v>1367142.5830259381</v>
      </c>
      <c r="D58" s="4">
        <f t="shared" si="11"/>
        <v>2.0480672862977284E-5</v>
      </c>
    </row>
    <row r="59" spans="1:10" x14ac:dyDescent="0.3">
      <c r="A59" t="s">
        <v>60</v>
      </c>
      <c r="B59" s="1">
        <v>35.700000000000003</v>
      </c>
      <c r="C59">
        <f>PI()*65*65*113</f>
        <v>1499874.8726401068</v>
      </c>
      <c r="D59" s="4">
        <f t="shared" si="11"/>
        <v>2.380198551973887E-5</v>
      </c>
    </row>
    <row r="60" spans="1:10" x14ac:dyDescent="0.3">
      <c r="A60" t="s">
        <v>60</v>
      </c>
      <c r="B60" s="1">
        <v>13</v>
      </c>
      <c r="C60">
        <f>PI()*10*10*2000</f>
        <v>628318.5307179587</v>
      </c>
      <c r="D60" s="4">
        <f t="shared" si="11"/>
        <v>2.0690142601946392E-5</v>
      </c>
    </row>
    <row r="61" spans="1:10" x14ac:dyDescent="0.3">
      <c r="B61" s="1"/>
      <c r="C61" t="s">
        <v>85</v>
      </c>
      <c r="D61" s="4">
        <f>AVERAGE(D51,D50)</f>
        <v>1.7494170995654369E-5</v>
      </c>
    </row>
    <row r="62" spans="1:10" x14ac:dyDescent="0.3">
      <c r="C62" t="s">
        <v>20</v>
      </c>
      <c r="D62" s="4">
        <f>AVERAGE(D56:D60)</f>
        <v>2.2449399217561005E-5</v>
      </c>
    </row>
    <row r="64" spans="1:10" x14ac:dyDescent="0.3">
      <c r="A64" t="s">
        <v>86</v>
      </c>
    </row>
    <row r="65" spans="1:7" x14ac:dyDescent="0.3">
      <c r="A65" t="s">
        <v>11</v>
      </c>
      <c r="B65" t="s">
        <v>12</v>
      </c>
      <c r="C65" t="s">
        <v>13</v>
      </c>
      <c r="D65" t="s">
        <v>87</v>
      </c>
      <c r="E65" t="s">
        <v>14</v>
      </c>
      <c r="F65" t="s">
        <v>15</v>
      </c>
      <c r="G65" t="s">
        <v>88</v>
      </c>
    </row>
    <row r="66" spans="1:7" x14ac:dyDescent="0.3">
      <c r="A66">
        <v>80</v>
      </c>
      <c r="B66">
        <v>1000</v>
      </c>
      <c r="C66">
        <v>2000</v>
      </c>
      <c r="D66">
        <v>1284</v>
      </c>
      <c r="E66" s="1">
        <f>D66*C66*B66/1000000</f>
        <v>2568</v>
      </c>
      <c r="F66" s="4">
        <f>E66/(A66*B66*C66)</f>
        <v>1.605E-5</v>
      </c>
      <c r="G66" s="2" t="s">
        <v>89</v>
      </c>
    </row>
    <row r="67" spans="1:7" x14ac:dyDescent="0.3">
      <c r="A67">
        <v>50</v>
      </c>
      <c r="B67">
        <v>1000</v>
      </c>
      <c r="C67">
        <v>2000</v>
      </c>
      <c r="D67">
        <v>990</v>
      </c>
      <c r="E67" s="1">
        <f>D67*C67*B67/1000000</f>
        <v>1980</v>
      </c>
      <c r="F67" s="4">
        <f>E67/(A67*B67*C67)</f>
        <v>1.98E-5</v>
      </c>
    </row>
    <row r="68" spans="1:7" x14ac:dyDescent="0.3">
      <c r="A68">
        <v>30</v>
      </c>
      <c r="B68">
        <v>1000</v>
      </c>
      <c r="C68">
        <v>2000</v>
      </c>
      <c r="D68">
        <v>594</v>
      </c>
      <c r="E68" s="1">
        <f>D68*C68*B68/1000000</f>
        <v>1188</v>
      </c>
      <c r="F68" s="4">
        <f>E68/(A68*B68*C68)</f>
        <v>1.98E-5</v>
      </c>
    </row>
    <row r="69" spans="1:7" x14ac:dyDescent="0.3">
      <c r="A69">
        <v>40</v>
      </c>
      <c r="B69">
        <v>1000</v>
      </c>
      <c r="C69">
        <v>2000</v>
      </c>
      <c r="D69">
        <v>792</v>
      </c>
      <c r="E69" s="1">
        <f>D69*C69*B69/1000000</f>
        <v>1584</v>
      </c>
      <c r="F69" s="4">
        <f>E69/(A69*B69*C69)</f>
        <v>1.98E-5</v>
      </c>
    </row>
  </sheetData>
  <hyperlinks>
    <hyperlink ref="A1" r:id="rId1"/>
    <hyperlink ref="S1" r:id="rId2"/>
    <hyperlink ref="G30" r:id="rId3"/>
    <hyperlink ref="N30" r:id="rId4" location="/alliage-25cd4"/>
    <hyperlink ref="A43" r:id="rId5"/>
    <hyperlink ref="G66" r:id="rId6"/>
    <hyperlink ref="A30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Fluid</vt:lpstr>
      <vt:lpstr>Hoses materials</vt:lpstr>
      <vt:lpstr>Miscellaneous</vt:lpstr>
      <vt:lpstr>Raw materials</vt:lpstr>
      <vt:lpstr>Sheet materials</vt:lpstr>
      <vt:lpstr>Tubing</vt:lpstr>
      <vt:lpstr>Plumbing</vt:lpstr>
      <vt:lpstr>Temporary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2019-05-31T09:51:44Z</dcterms:created>
  <dcterms:modified xsi:type="dcterms:W3CDTF">2019-06-21T02:06:23Z</dcterms:modified>
</cp:coreProperties>
</file>