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drawings/drawing9.xml" ContentType="application/vnd.openxmlformats-officedocument.drawing+xml"/>
  <Override PartName="/xl/comments2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DieseArbeitsmappe" defaultThemeVersion="124226"/>
  <mc:AlternateContent xmlns:mc="http://schemas.openxmlformats.org/markup-compatibility/2006">
    <mc:Choice Requires="x15">
      <x15ac:absPath xmlns:x15ac="http://schemas.microsoft.com/office/spreadsheetml/2010/11/ac" url="C:\Users\33608\Documents\Centrale Lyon\EPSA\Git\ELIZ-2022\02 - Documentation\RC_Rendus_Compet\SES\"/>
    </mc:Choice>
  </mc:AlternateContent>
  <xr:revisionPtr revIDLastSave="0" documentId="13_ncr:1_{F87D76B2-C2AF-4F14-890A-D3379B67D9C8}" xr6:coauthVersionLast="47" xr6:coauthVersionMax="47" xr10:uidLastSave="{00000000-0000-0000-0000-000000000000}"/>
  <bookViews>
    <workbookView xWindow="-98" yWindow="-98" windowWidth="20715" windowHeight="13155" tabRatio="878" firstSheet="20" activeTab="24" xr2:uid="{00000000-000D-0000-FFFF-FFFF00000000}"/>
  </bookViews>
  <sheets>
    <sheet name="Read_Me" sheetId="33" r:id="rId1"/>
    <sheet name="Version History" sheetId="35" r:id="rId2"/>
    <sheet name="Rules Clarifications" sheetId="41" r:id="rId3"/>
    <sheet name="Cover Sheet" sheetId="14" r:id="rId4"/>
    <sheet name="Chassis Pics" sheetId="15" r:id="rId5"/>
    <sheet name="A2.2 Significant Changes" sheetId="85" r:id="rId6"/>
    <sheet name="MaterialData" sheetId="2" r:id="rId7"/>
    <sheet name="T3.5 Laminate Test" sheetId="21" r:id="rId8"/>
    <sheet name="T3.5 FBHS" sheetId="36" r:id="rId9"/>
    <sheet name="T3.5 FBH" sheetId="82" r:id="rId10"/>
    <sheet name="T3.5 Different Layups" sheetId="77" r:id="rId11"/>
    <sheet name="T3.5.9 Shear Tests" sheetId="22" r:id="rId12"/>
    <sheet name="Other 1 Matt´l Shear" sheetId="70" r:id="rId13"/>
    <sheet name="T3.8 Main Hoop Tubing" sheetId="1" r:id="rId14"/>
    <sheet name="T3.9 Front Hoop Tubing" sheetId="7" r:id="rId15"/>
    <sheet name="T3.10 Main Hoop Bracing" sheetId="8" r:id="rId16"/>
    <sheet name="T3.10.5 T3.5 MHoop Brace Spt" sheetId="12" r:id="rId17"/>
    <sheet name="T3.11 T3.5 FHoop Bracing" sheetId="34" r:id="rId18"/>
    <sheet name="T3.13 T3.5 Ft Bulkhead" sheetId="90" r:id="rId19"/>
    <sheet name="T3.14 T3.5 FBH Spt Structure" sheetId="6" r:id="rId20"/>
    <sheet name="T3.17.3 IA AI Plate" sheetId="19" r:id="rId21"/>
    <sheet name="T3.15 T3.5 SIS" sheetId="3" r:id="rId22"/>
    <sheet name="T4.5 Shoulder Harness Bar" sheetId="13" r:id="rId23"/>
    <sheet name="EV5.5.1&amp;2 EV4.4 ACPS TSPS Side" sheetId="93" r:id="rId24"/>
    <sheet name="EV5.5.1&amp;2 EV4.4 ACPS TSPS Rear" sheetId="94" r:id="rId25"/>
    <sheet name="EV5.5.1&amp;2 EV4.4 ACPS TSPS sidex" sheetId="39" state="hidden" r:id="rId26"/>
    <sheet name="EV5.5.1&amp;2 EV4.4 ACPS TSPS rearx" sheetId="92" state="hidden" r:id="rId27"/>
    <sheet name="T3.16 MH &amp; MH B'ing Attachments" sheetId="18" r:id="rId28"/>
    <sheet name="T4.5 Harness Attachments" sheetId="24" r:id="rId29"/>
    <sheet name="T3.16 FH &amp; FH B'ing Attachments" sheetId="27" r:id="rId30"/>
    <sheet name="T3.16.6&amp;3.17.5 Prim.Struc.Att." sheetId="58"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1.1 Guidance Notes" sheetId="96" r:id="rId44"/>
    <sheet name="T3.5 Guidance Notes" sheetId="104" r:id="rId45"/>
    <sheet name="T3.10.5 T3.5 Guidance Notes" sheetId="48" r:id="rId46"/>
    <sheet name="T3.11 T3.5 Guidance Notes" sheetId="50" r:id="rId47"/>
    <sheet name="T3.14 T3.5 Guidance Notes" sheetId="51" r:id="rId48"/>
    <sheet name="T3.17.3 Guidance Notes" sheetId="54" r:id="rId49"/>
    <sheet name="T3.15 T3.5 Guidance Notes" sheetId="56" r:id="rId50"/>
    <sheet name="T3.5.9 Guidance Notes" sheetId="55" r:id="rId51"/>
    <sheet name="T4.5 Guidance Notes" sheetId="95" r:id="rId52"/>
    <sheet name="EV4.4 Guidance Notes" sheetId="91" r:id="rId53"/>
    <sheet name="EV5.5.3 Guidance Notes" sheetId="99" r:id="rId54"/>
    <sheet name="EV5.5.8 Guidance Notes" sheetId="101" r:id="rId55"/>
    <sheet name="EV5.5.9 Guidance Notes" sheetId="100" r:id="rId56"/>
    <sheet name="EV5.5.10 Guidance Notes" sheetId="105" r:id="rId57"/>
    <sheet name="EV5.5 TSAC Attachment Guidance" sheetId="81" r:id="rId58"/>
    <sheet name="Monocoque Attachments Guidance" sheetId="57" r:id="rId59"/>
    <sheet name="Front Hoop Attachment Guidance" sheetId="86" r:id="rId60"/>
  </sheets>
  <definedNames>
    <definedName name="_xlnm._FilterDatabase" localSheetId="6" hidden="1">MaterialData!$C$3:$I$10</definedName>
    <definedName name="AIP" localSheetId="18">MaterialData!$C$3:$E$3,MaterialData!$O$3</definedName>
    <definedName name="AIP">MaterialData!$C$3:$E$3,MaterialData!$O$3</definedName>
    <definedName name="ConstructionType" localSheetId="18">MaterialData!$B$23:$B$25</definedName>
    <definedName name="ConstructionType">MaterialData!$B$23:$B$25</definedName>
    <definedName name="Guidance_notes_FBHS" localSheetId="52">'EV4.4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 localSheetId="43">'T1.1 Guidance Notes'!$A$1</definedName>
    <definedName name="Guidance_notes_MHBS" localSheetId="44">'T3.5 Guidance Notes'!$A$1</definedName>
    <definedName name="Guidance_notes_MHBS">'T3.10.5 T3.5 Guidance Notes'!$A$1</definedName>
    <definedName name="Guidance_notes_Monocoque_Attachments">'Monocoque Attachments Guidance'!$A$1</definedName>
    <definedName name="Guidance_notes_Perimeter_Shear" localSheetId="51">'T4.5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6">MaterialData!$C$6:$R$11</definedName>
    <definedName name="Innertable" localSheetId="53">MaterialData!$C$6:$R$11</definedName>
    <definedName name="Innertable" localSheetId="36">MaterialData!$C$6:$R$11</definedName>
    <definedName name="Innertable" localSheetId="54">MaterialData!$C$6:$R$11</definedName>
    <definedName name="Innertable" localSheetId="55">MaterialData!$C$6:$R$11</definedName>
    <definedName name="Innertable" localSheetId="59">MaterialData!$C$6:$R$11</definedName>
    <definedName name="Innertable" localSheetId="12">MaterialData!$C$6:$R$11</definedName>
    <definedName name="Innertable" localSheetId="31">MaterialData!$C$6:$R$11</definedName>
    <definedName name="Innertable" localSheetId="18">MaterialData!$C$6:$R$11</definedName>
    <definedName name="Innertable">MaterialData!$C$6:$R$11</definedName>
    <definedName name="Lijst">'T1.2.1 T4.6 T4.8 Firewall'!$K$6:$L$7</definedName>
    <definedName name="Link_to_guidance_notes" localSheetId="56">'EV5.5.10 Guidance Notes'!$A$1</definedName>
    <definedName name="Link_to_guidance_notes" localSheetId="53">'EV5.5.3 Guidance Notes'!$A$1</definedName>
    <definedName name="Link_to_guidance_notes" localSheetId="54">'EV5.5.8 Guidance Notes'!$A$1</definedName>
    <definedName name="Link_to_guidance_notes" localSheetId="55">'EV5.5.9 Guidance Notes'!$A$1</definedName>
    <definedName name="Link_to_guidance_notes">#REF!</definedName>
    <definedName name="Link_to_guidance_notes__Front_Hoop__FH__attachments" localSheetId="56">'EV5.5.10 Guidance Notes'!$A$1:$S$1</definedName>
    <definedName name="Link_to_guidance_notes__Front_Hoop__FH__attachments" localSheetId="53">'EV5.5.3 Guidance Notes'!$A$1:$S$1</definedName>
    <definedName name="Link_to_guidance_notes__Front_Hoop__FH__attachments" localSheetId="54">'EV5.5.8 Guidance Notes'!$A$1:$S$1</definedName>
    <definedName name="Link_to_guidance_notes__Front_Hoop__FH__attachments" localSheetId="55">'EV5.5.9 Guidance Notes'!$A$1:$S$1</definedName>
    <definedName name="Link_to_guidance_notes__Front_Hoop__FH__attachments">'Front Hoop Attachment Guidance'!$A$1:$S$1</definedName>
    <definedName name="Link_to_guidance_notes_cell_stacks" localSheetId="56">'EV5.5.10 Guidance Notes'!$A$1</definedName>
    <definedName name="Link_to_guidance_notes_cell_stacks" localSheetId="53">'EV5.5.3 Guidance Notes'!$A$1</definedName>
    <definedName name="Link_to_guidance_notes_cell_stacks" localSheetId="54">'EV5.5.8 Guidance Notes'!$A$1</definedName>
    <definedName name="Link_to_guidance_notes_cell_stacks" localSheetId="55">'EV5.5.9 Guidance Notes'!$A$1</definedName>
    <definedName name="Link_to_guidance_notes_cell_stacks">#REF!</definedName>
    <definedName name="Link_to_guidance_notes_TSAC_attachment">'EV5.5 TSAC Attachment Guidance'!$A$1</definedName>
    <definedName name="Material" localSheetId="33">MaterialData!$C$3:$R$3</definedName>
    <definedName name="Material" localSheetId="56">MaterialData!$C$3:$R$3</definedName>
    <definedName name="Material" localSheetId="53">MaterialData!$C$3:$R$3</definedName>
    <definedName name="Material" localSheetId="54">MaterialData!$C$3:$R$3</definedName>
    <definedName name="Material" localSheetId="55">MaterialData!$C$3:$R$3</definedName>
    <definedName name="Material" localSheetId="59">MaterialData!$C$3:$R$3</definedName>
    <definedName name="Material" localSheetId="31">MaterialData!$C$3:$R$3</definedName>
    <definedName name="Material" localSheetId="18">MaterialData!$C$3:$R$3</definedName>
    <definedName name="Material">MaterialData!$C$3:$R$3</definedName>
    <definedName name="Materialname">MaterialData!$C$4:$R$4</definedName>
    <definedName name="Materials" localSheetId="33">MaterialData!$C$3:$R$3</definedName>
    <definedName name="Materials" localSheetId="56">MaterialData!$C$3:$R$3</definedName>
    <definedName name="Materials" localSheetId="53">MaterialData!$C$3:$R$3</definedName>
    <definedName name="Materials" localSheetId="36">MaterialData!$C$3:$R$3</definedName>
    <definedName name="Materials" localSheetId="54">MaterialData!$C$3:$R$3</definedName>
    <definedName name="Materials" localSheetId="55">MaterialData!$C$3:$R$3</definedName>
    <definedName name="Materials" localSheetId="59">MaterialData!$C$3:$R$3</definedName>
    <definedName name="Materials" localSheetId="12">MaterialData!$C$3:$R$3</definedName>
    <definedName name="Materials" localSheetId="31">MaterialData!$C$3:$R$3</definedName>
    <definedName name="Materials" localSheetId="18">MaterialData!$C$3:$R$3</definedName>
    <definedName name="Materials">MaterialData!$C$3:$R$3</definedName>
    <definedName name="Metallic_Mats" localSheetId="33">MaterialData!$C$3:$E$3</definedName>
    <definedName name="Metallic_Mats" localSheetId="56">MaterialData!$C$3:$E$3</definedName>
    <definedName name="Metallic_Mats" localSheetId="53">MaterialData!$C$3:$E$3</definedName>
    <definedName name="Metallic_Mats" localSheetId="36">MaterialData!$C$3:$E$3</definedName>
    <definedName name="Metallic_Mats" localSheetId="54">MaterialData!$C$3:$E$3</definedName>
    <definedName name="Metallic_Mats" localSheetId="55">MaterialData!$C$3:$E$3</definedName>
    <definedName name="Metallic_Mats" localSheetId="59">MaterialData!$C$3:$E$3</definedName>
    <definedName name="Metallic_Mats" localSheetId="12">MaterialData!$C$3:$E$3</definedName>
    <definedName name="Metallic_Mats" localSheetId="31">MaterialData!$C$3:$E$3</definedName>
    <definedName name="Metallic_Mats" localSheetId="18">MaterialData!$C$3:$E$3</definedName>
    <definedName name="Metallic_Mats">MaterialData!$C$3:$E$3</definedName>
    <definedName name="Table">MaterialData!$B$3:$O$11</definedName>
    <definedName name="Tube_Type" localSheetId="18">MaterialData!$B$27:$B$28</definedName>
    <definedName name="Tube_Type">MaterialData!$B$27:$B$28</definedName>
    <definedName name="_xlnm.Print_Area" localSheetId="4">'Chassis Pics'!$A$1:$AD$68</definedName>
    <definedName name="_xlnm.Print_Area" localSheetId="52">'EV4.4 Guidance Notes'!$A$1:$AL$57</definedName>
    <definedName name="_xlnm.Print_Area" localSheetId="33">'EV5 Acc. Stack Construction'!$A$1:$AI$123</definedName>
    <definedName name="_xlnm.Print_Area" localSheetId="57">'EV5.5 TSAC Attachment Guidance'!$A$1:$S$54</definedName>
    <definedName name="_xlnm.Print_Area" localSheetId="24">'EV5.5.1&amp;2 EV4.4 ACPS TSPS Rear'!$A$1:$Q$191</definedName>
    <definedName name="_xlnm.Print_Area" localSheetId="23">'EV5.5.1&amp;2 EV4.4 ACPS TSPS Side'!$A$1:$Q$191</definedName>
    <definedName name="_xlnm.Print_Area" localSheetId="56">'EV5.5.10 Guidance Notes'!$A$1:$S$56</definedName>
    <definedName name="_xlnm.Print_Area" localSheetId="53">'EV5.5.3 Guidance Notes'!$A$1:$S$56</definedName>
    <definedName name="_xlnm.Print_Area" localSheetId="36">'EV5.5.4 Alt. Matl - Shear'!$A$1:$S$55</definedName>
    <definedName name="_xlnm.Print_Area" localSheetId="37">'EV5.5.4 Alt. Matls Summary'!$A$1:$J$26</definedName>
    <definedName name="_xlnm.Print_Area" localSheetId="54">'EV5.5.8 Guidance Notes'!$A$1:$S$56</definedName>
    <definedName name="_xlnm.Print_Area" localSheetId="55">'EV5.5.9 Guidance Notes'!$A$1:$S$56</definedName>
    <definedName name="_xlnm.Print_Area" localSheetId="59">'Front Hoop Attachment Guidance'!$A$1:$S$57</definedName>
    <definedName name="_xlnm.Print_Area" localSheetId="58">'Monocoque Attachments Guidance'!$A$1:$AL$57</definedName>
    <definedName name="_xlnm.Print_Area" localSheetId="12">'Other 1 Matt´l Shear'!$A$1:$S$54</definedName>
    <definedName name="_xlnm.Print_Area" localSheetId="40">'Steering Rack Collars'!$A$1:$J$164</definedName>
    <definedName name="_xlnm.Print_Area" localSheetId="17">'T3.11 T3.5 FHoop Bracing'!$A$1:$M$190</definedName>
    <definedName name="_xlnm.Print_Area" localSheetId="46">'T3.11 T3.5 Guidance Notes'!$A$1:$S$57</definedName>
    <definedName name="_xlnm.Print_Area" localSheetId="18">'T3.13 T3.5 Ft Bulkhead'!$A$1:$AA$194</definedName>
    <definedName name="_xlnm.Print_Area" localSheetId="19">'T3.14 T3.5 FBH Spt Structure'!$A$1:$P$191</definedName>
    <definedName name="_xlnm.Print_Area" localSheetId="47">'T3.14 T3.5 Guidance Notes'!$A$1:$AL$57</definedName>
    <definedName name="_xlnm.Print_Area" localSheetId="49">'T3.15 T3.5 Guidance Notes'!$A$1:$S$54</definedName>
    <definedName name="_xlnm.Print_Area" localSheetId="21">'T3.15 T3.5 SIS'!$A$1:$Q$191</definedName>
    <definedName name="_xlnm.Print_Area" localSheetId="48">'T3.17.3 Guidance Notes'!$A$1:$S$57</definedName>
    <definedName name="_xlnm.Print_Area" localSheetId="20">'T3.17.3 IA AI Plate'!$A$1:$P$189</definedName>
    <definedName name="_xlnm.Print_Area" localSheetId="50">'T3.5.9 Guidance Notes'!$A$1:$S$56</definedName>
    <definedName name="_xlnm.Print_Area" localSheetId="11">'T3.5.9 Shear Tests'!$A$1:$AL$55</definedName>
    <definedName name="_xlnm.Print_Area" localSheetId="51">'T4.5 Guidance Notes'!$A$1:$AL$56</definedName>
    <definedName name="_xlnm.Print_Area" localSheetId="28">'T4.5 Harness Attachments'!$A$1:$S$52</definedName>
    <definedName name="_xlnm.Print_Area" localSheetId="39">'Welded Tube Inserts'!$A$1:$J$165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57" i="72" l="1"/>
  <c r="BO56" i="72"/>
  <c r="AV57" i="72"/>
  <c r="AV56" i="72"/>
  <c r="AC57" i="72"/>
  <c r="AC56" i="72"/>
  <c r="J57" i="72"/>
  <c r="J56" i="72"/>
  <c r="F360" i="21"/>
  <c r="F359" i="21"/>
  <c r="A1" i="15" l="1"/>
  <c r="A1" i="14"/>
  <c r="F71" i="21"/>
  <c r="K8" i="27"/>
  <c r="I8" i="27"/>
  <c r="N47" i="21"/>
  <c r="V51" i="21"/>
  <c r="Z12" i="24"/>
  <c r="E39" i="24" a="1"/>
  <c r="E39" i="24"/>
  <c r="Z11" i="24"/>
  <c r="Z13" i="24"/>
  <c r="AD15" i="24"/>
  <c r="AD14" i="24"/>
  <c r="AD13" i="24"/>
  <c r="E43" i="24"/>
  <c r="Z15" i="24"/>
  <c r="Z14" i="24"/>
  <c r="E42" i="13"/>
  <c r="E41" i="13"/>
  <c r="E40" i="13"/>
  <c r="D22" i="66"/>
  <c r="D21" i="66"/>
  <c r="C21" i="66"/>
  <c r="BI54" i="71"/>
  <c r="D54" i="22"/>
  <c r="D54" i="71"/>
  <c r="E24" i="79"/>
  <c r="E32" i="79"/>
  <c r="E39" i="79"/>
  <c r="H55" i="61"/>
  <c r="L87" i="21" a="1"/>
  <c r="L87" i="21" s="1"/>
  <c r="C54" i="21" s="1"/>
  <c r="I22" i="87" l="1"/>
  <c r="AD11" i="24"/>
  <c r="Z16" i="24"/>
  <c r="AD6" i="24"/>
  <c r="Z6" i="24"/>
  <c r="AD5" i="24"/>
  <c r="Z5" i="24"/>
  <c r="AA12" i="24" s="1"/>
  <c r="V53" i="58"/>
  <c r="V54" i="58"/>
  <c r="V43" i="58"/>
  <c r="V44" i="58"/>
  <c r="M53" i="58"/>
  <c r="M54" i="58"/>
  <c r="M43" i="58"/>
  <c r="M44" i="58"/>
  <c r="D24" i="27"/>
  <c r="F24" i="27"/>
  <c r="H24" i="27"/>
  <c r="J24" i="27"/>
  <c r="L24" i="27"/>
  <c r="D25" i="27"/>
  <c r="F25" i="27"/>
  <c r="H25" i="27"/>
  <c r="J25" i="27"/>
  <c r="L25" i="27"/>
  <c r="L24" i="18"/>
  <c r="L25" i="18"/>
  <c r="J24" i="18"/>
  <c r="J25" i="18"/>
  <c r="H24" i="18"/>
  <c r="H25" i="18"/>
  <c r="F24" i="18"/>
  <c r="F25" i="18"/>
  <c r="D25" i="18"/>
  <c r="D24" i="18"/>
  <c r="J56" i="82"/>
  <c r="J57" i="82"/>
  <c r="J56" i="77"/>
  <c r="J57" i="77"/>
  <c r="J56" i="36"/>
  <c r="J57" i="36"/>
  <c r="J60" i="21"/>
  <c r="J61" i="21"/>
  <c r="M20" i="94"/>
  <c r="M21" i="94"/>
  <c r="I22" i="13"/>
  <c r="I23" i="13"/>
  <c r="M20" i="93"/>
  <c r="M21" i="93"/>
  <c r="M20" i="3"/>
  <c r="M21" i="3"/>
  <c r="L20" i="6"/>
  <c r="L21" i="6"/>
  <c r="I23" i="90"/>
  <c r="I24" i="90"/>
  <c r="I20" i="34"/>
  <c r="I21" i="34"/>
  <c r="I20" i="12"/>
  <c r="I21" i="12"/>
  <c r="AD16" i="24" l="1"/>
  <c r="AD12" i="24"/>
  <c r="AE12" i="24" s="1"/>
  <c r="AA16" i="24"/>
  <c r="AE16" i="24"/>
  <c r="L85" i="21" a="1"/>
  <c r="L85" i="21" s="1"/>
  <c r="L86" i="21" s="1" a="1"/>
  <c r="L86" i="21" s="1"/>
  <c r="G55" i="21" l="1"/>
  <c r="E26" i="13"/>
  <c r="U59" i="58"/>
  <c r="U60" i="58"/>
  <c r="D29" i="58"/>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C11" i="2"/>
  <c r="I47" i="77" l="1"/>
  <c r="L66" i="77" a="1"/>
  <c r="L66" i="77" s="1"/>
  <c r="L67" i="77" s="1" a="1"/>
  <c r="L67" i="77" s="1"/>
  <c r="L66" i="82" a="1"/>
  <c r="L66" i="82" s="1"/>
  <c r="L67" i="82" s="1" a="1"/>
  <c r="L67" i="82" s="1"/>
  <c r="AD70" i="21" a="1"/>
  <c r="AD70" i="21" s="1"/>
  <c r="Y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61" i="21"/>
  <c r="F362" i="21"/>
  <c r="F363" i="21"/>
  <c r="F364" i="21"/>
  <c r="F365" i="21"/>
  <c r="F366" i="21"/>
  <c r="F367" i="21"/>
  <c r="F368" i="21"/>
  <c r="F369" i="21"/>
  <c r="AD71" i="21" l="1" a="1"/>
  <c r="AD71" i="21" s="1"/>
  <c r="U27" i="58" l="1"/>
  <c r="L27" i="58"/>
  <c r="M60" i="58"/>
  <c r="M59" i="58"/>
  <c r="L58" i="58"/>
  <c r="M58" i="58" s="1"/>
  <c r="L57" i="58"/>
  <c r="M57" i="58" s="1"/>
  <c r="M50" i="58"/>
  <c r="L48" i="58"/>
  <c r="M40" i="58"/>
  <c r="L38" i="58"/>
  <c r="M31" i="58" l="1"/>
  <c r="M29" i="58"/>
  <c r="V31" i="58"/>
  <c r="V30" i="58"/>
  <c r="M30" i="58"/>
  <c r="K33" i="58" s="1"/>
  <c r="V29" i="58"/>
  <c r="T33" i="58" s="1"/>
  <c r="L24" i="58" l="1"/>
  <c r="V59" i="58"/>
  <c r="U58" i="58"/>
  <c r="U57" i="58"/>
  <c r="V50" i="58"/>
  <c r="U48" i="58"/>
  <c r="U38" i="58"/>
  <c r="V40" i="58"/>
  <c r="T43" i="14" l="1"/>
  <c r="V57" i="58"/>
  <c r="C27" i="58"/>
  <c r="D31" i="58" s="1"/>
  <c r="AD49" i="14"/>
  <c r="AC49" i="14"/>
  <c r="AE49" i="14"/>
  <c r="AF49" i="14"/>
  <c r="AF48" i="14"/>
  <c r="AE48" i="14"/>
  <c r="AD48" i="14"/>
  <c r="AC48" i="14"/>
  <c r="G22" i="18"/>
  <c r="H18" i="18"/>
  <c r="H15" i="18"/>
  <c r="H14" i="18"/>
  <c r="H11" i="18"/>
  <c r="H10" i="18"/>
  <c r="C22" i="27"/>
  <c r="D18" i="27"/>
  <c r="D15" i="27"/>
  <c r="D14" i="27"/>
  <c r="D11" i="27"/>
  <c r="D10" i="27"/>
  <c r="G22" i="27"/>
  <c r="H18" i="27"/>
  <c r="H15" i="27"/>
  <c r="H14" i="27"/>
  <c r="H11" i="27"/>
  <c r="H10" i="27"/>
  <c r="AS49" i="14"/>
  <c r="AR49" i="14"/>
  <c r="AQ49" i="14"/>
  <c r="AP49" i="14"/>
  <c r="AO49" i="14"/>
  <c r="AN49" i="14"/>
  <c r="AM49" i="14"/>
  <c r="AL49" i="14"/>
  <c r="AK49" i="14"/>
  <c r="AJ49" i="14"/>
  <c r="AI49" i="14"/>
  <c r="AH49" i="14"/>
  <c r="AG49" i="14"/>
  <c r="G49" i="14"/>
  <c r="G48" i="14"/>
  <c r="D30" i="58" l="1"/>
  <c r="V60" i="58"/>
  <c r="V58" i="58"/>
  <c r="U24" i="58" s="1"/>
  <c r="H28" i="18"/>
  <c r="G27" i="18"/>
  <c r="H27" i="18" s="1"/>
  <c r="G26" i="18"/>
  <c r="H26" i="18" s="1"/>
  <c r="V50" i="36"/>
  <c r="F17" i="19"/>
  <c r="L66" i="36" a="1"/>
  <c r="L66" i="36" s="1"/>
  <c r="CA48" i="72"/>
  <c r="BH48" i="72"/>
  <c r="AO48" i="72"/>
  <c r="V48" i="72"/>
  <c r="C48" i="72"/>
  <c r="V48" i="77"/>
  <c r="C48" i="77"/>
  <c r="V48" i="82"/>
  <c r="C48" i="82"/>
  <c r="V48" i="36"/>
  <c r="C48" i="36"/>
  <c r="E38" i="79"/>
  <c r="E23" i="79"/>
  <c r="AG50" i="82"/>
  <c r="AI50" i="82" s="1"/>
  <c r="A51" i="14"/>
  <c r="A56" i="14"/>
  <c r="A55" i="14"/>
  <c r="A54" i="14"/>
  <c r="A53" i="14"/>
  <c r="A52" i="14"/>
  <c r="C38" i="79"/>
  <c r="C23" i="79"/>
  <c r="A29" i="14"/>
  <c r="G36" i="94"/>
  <c r="F36" i="94"/>
  <c r="K34" i="94"/>
  <c r="J34" i="94"/>
  <c r="I34" i="94"/>
  <c r="C28" i="94"/>
  <c r="J26" i="94"/>
  <c r="J33" i="94" s="1"/>
  <c r="I26" i="94"/>
  <c r="C26" i="94"/>
  <c r="C25" i="94"/>
  <c r="G24" i="94"/>
  <c r="G27" i="94" s="1"/>
  <c r="F24" i="94"/>
  <c r="F31" i="94" s="1"/>
  <c r="E24" i="94"/>
  <c r="C24" i="94"/>
  <c r="T20" i="94"/>
  <c r="J18" i="94"/>
  <c r="T21" i="94" s="1"/>
  <c r="I18" i="94"/>
  <c r="G18" i="94"/>
  <c r="F18" i="94"/>
  <c r="E18" i="94"/>
  <c r="U16" i="94"/>
  <c r="T16" i="94"/>
  <c r="U15" i="94"/>
  <c r="V19" i="94" s="1"/>
  <c r="T15" i="94"/>
  <c r="T18" i="94" s="1"/>
  <c r="T11" i="94"/>
  <c r="J7" i="94"/>
  <c r="I7" i="94"/>
  <c r="G7" i="94"/>
  <c r="G10" i="94" s="1"/>
  <c r="F7" i="94"/>
  <c r="F10" i="94" s="1"/>
  <c r="E7" i="94"/>
  <c r="E12" i="94" s="1"/>
  <c r="C7" i="94"/>
  <c r="C9" i="94" s="1"/>
  <c r="U6" i="94"/>
  <c r="T6" i="94"/>
  <c r="T10" i="94" s="1"/>
  <c r="T5" i="94"/>
  <c r="V8" i="94" s="1"/>
  <c r="G36" i="93"/>
  <c r="F36" i="93"/>
  <c r="K34" i="93"/>
  <c r="J34" i="93"/>
  <c r="I34" i="93"/>
  <c r="G31" i="93"/>
  <c r="G30" i="93"/>
  <c r="J26" i="93"/>
  <c r="J33" i="93" s="1"/>
  <c r="I26" i="93"/>
  <c r="I27" i="93" s="1"/>
  <c r="G26" i="93"/>
  <c r="G25" i="93"/>
  <c r="C25" i="93"/>
  <c r="G24" i="93"/>
  <c r="G32" i="93" s="1"/>
  <c r="F24" i="93"/>
  <c r="F31" i="93" s="1"/>
  <c r="E24" i="93"/>
  <c r="C24" i="93"/>
  <c r="C26" i="93" s="1"/>
  <c r="T20" i="93"/>
  <c r="J18" i="93"/>
  <c r="T21" i="93" s="1"/>
  <c r="I18" i="93"/>
  <c r="T11" i="93" s="1"/>
  <c r="G18" i="93"/>
  <c r="F18" i="93"/>
  <c r="E18" i="93"/>
  <c r="U16" i="93"/>
  <c r="T16" i="93"/>
  <c r="U15" i="93"/>
  <c r="V19" i="93" s="1"/>
  <c r="T15" i="93"/>
  <c r="V18" i="93" s="1"/>
  <c r="J7" i="93"/>
  <c r="I7" i="93"/>
  <c r="G7" i="93"/>
  <c r="G10" i="93" s="1"/>
  <c r="F7" i="93"/>
  <c r="F10" i="93" s="1"/>
  <c r="E7" i="93"/>
  <c r="E12" i="93" s="1"/>
  <c r="C7" i="93"/>
  <c r="C12" i="93" s="1"/>
  <c r="U6" i="93"/>
  <c r="T6" i="93"/>
  <c r="T10" i="93" s="1"/>
  <c r="T5" i="93"/>
  <c r="C52" i="21"/>
  <c r="C49" i="21"/>
  <c r="T8" i="93" l="1"/>
  <c r="U5" i="93"/>
  <c r="V9" i="93" s="1"/>
  <c r="T19" i="93"/>
  <c r="B33" i="58"/>
  <c r="V18" i="94"/>
  <c r="T19" i="94"/>
  <c r="T22" i="94" s="1"/>
  <c r="V20" i="94" s="1"/>
  <c r="V8" i="93"/>
  <c r="G8" i="18"/>
  <c r="L67" i="36" a="1"/>
  <c r="L67" i="36" s="1"/>
  <c r="C51" i="36" s="1"/>
  <c r="E52" i="21"/>
  <c r="G27" i="93"/>
  <c r="F26" i="93"/>
  <c r="J30" i="93"/>
  <c r="I32" i="93"/>
  <c r="J27" i="93"/>
  <c r="F28" i="93"/>
  <c r="I31" i="93"/>
  <c r="G28" i="93"/>
  <c r="J32" i="93"/>
  <c r="J28" i="93"/>
  <c r="F29" i="93"/>
  <c r="F35" i="93"/>
  <c r="J31" i="93"/>
  <c r="F30" i="93"/>
  <c r="F29" i="94"/>
  <c r="G29" i="94"/>
  <c r="G30" i="94"/>
  <c r="J31" i="94"/>
  <c r="G32" i="94"/>
  <c r="G33" i="94"/>
  <c r="G26" i="94"/>
  <c r="E8" i="94"/>
  <c r="F8" i="94"/>
  <c r="G9" i="94"/>
  <c r="E11" i="94"/>
  <c r="F11" i="94"/>
  <c r="G12" i="94"/>
  <c r="F9" i="94"/>
  <c r="F12" i="94"/>
  <c r="F26" i="94"/>
  <c r="G31" i="94"/>
  <c r="I32" i="94"/>
  <c r="C29" i="94"/>
  <c r="F30" i="94"/>
  <c r="J32" i="94"/>
  <c r="F35" i="94"/>
  <c r="C8" i="94"/>
  <c r="C27" i="94" s="1"/>
  <c r="C36" i="94" s="1"/>
  <c r="C11" i="94"/>
  <c r="C31" i="94" s="1"/>
  <c r="I12" i="94"/>
  <c r="I31" i="94"/>
  <c r="G35" i="94"/>
  <c r="E28" i="94"/>
  <c r="E32" i="94" s="1"/>
  <c r="I30" i="94"/>
  <c r="I35" i="94"/>
  <c r="U5" i="94"/>
  <c r="G8" i="94"/>
  <c r="G11" i="94"/>
  <c r="F28" i="94"/>
  <c r="J30" i="94"/>
  <c r="G34" i="94"/>
  <c r="J35" i="94"/>
  <c r="F34" i="94"/>
  <c r="C10" i="94"/>
  <c r="C33" i="94" s="1"/>
  <c r="I11" i="94"/>
  <c r="G28" i="94"/>
  <c r="I29" i="94"/>
  <c r="E10" i="94"/>
  <c r="J11" i="94"/>
  <c r="E25" i="94"/>
  <c r="E26" i="94" s="1"/>
  <c r="J29" i="94"/>
  <c r="F33" i="94"/>
  <c r="T8" i="94"/>
  <c r="F25" i="94"/>
  <c r="F27" i="94"/>
  <c r="I28" i="94"/>
  <c r="G25" i="94"/>
  <c r="J28" i="94"/>
  <c r="F32" i="94"/>
  <c r="C12" i="94"/>
  <c r="C32" i="94" s="1"/>
  <c r="I33" i="94"/>
  <c r="J12" i="94"/>
  <c r="E9" i="94"/>
  <c r="C11" i="93"/>
  <c r="I12" i="93"/>
  <c r="G35" i="93"/>
  <c r="F12" i="93"/>
  <c r="F9" i="93"/>
  <c r="G9" i="93"/>
  <c r="E8" i="93"/>
  <c r="J12" i="93"/>
  <c r="F8" i="93"/>
  <c r="T9" i="93"/>
  <c r="T12" i="93" s="1"/>
  <c r="F11" i="93"/>
  <c r="T18" i="93"/>
  <c r="T22" i="93" s="1"/>
  <c r="V21" i="93" s="1"/>
  <c r="E28" i="93"/>
  <c r="G29" i="93"/>
  <c r="I30" i="93"/>
  <c r="F34" i="93"/>
  <c r="I35" i="93"/>
  <c r="G12" i="93"/>
  <c r="E11" i="93"/>
  <c r="C28" i="93"/>
  <c r="G8" i="93"/>
  <c r="G11" i="93"/>
  <c r="G34" i="93"/>
  <c r="J35" i="93"/>
  <c r="C8" i="93"/>
  <c r="C27" i="93" s="1"/>
  <c r="C36" i="93" s="1"/>
  <c r="C10" i="93"/>
  <c r="C33" i="93" s="1"/>
  <c r="I29" i="93"/>
  <c r="I11" i="93"/>
  <c r="E10" i="93"/>
  <c r="J11" i="93"/>
  <c r="E25" i="93"/>
  <c r="E26" i="93" s="1"/>
  <c r="J29" i="93"/>
  <c r="F33" i="93"/>
  <c r="F25" i="93"/>
  <c r="F27" i="93"/>
  <c r="I28" i="93"/>
  <c r="G33" i="93"/>
  <c r="F32" i="93"/>
  <c r="C9" i="93"/>
  <c r="I33" i="93"/>
  <c r="E9" i="93"/>
  <c r="V21" i="94" l="1"/>
  <c r="V22" i="94" s="1"/>
  <c r="V10" i="93"/>
  <c r="E29" i="94"/>
  <c r="H29" i="94" s="1"/>
  <c r="K29" i="94" s="1"/>
  <c r="E31" i="94"/>
  <c r="H31" i="94" s="1"/>
  <c r="E33" i="94"/>
  <c r="H33" i="94" s="1"/>
  <c r="K33" i="94" s="1"/>
  <c r="C51" i="77"/>
  <c r="C51" i="82"/>
  <c r="E31" i="93"/>
  <c r="H31" i="93" s="1"/>
  <c r="K31" i="93" s="1"/>
  <c r="H26" i="94"/>
  <c r="K26" i="94" s="1"/>
  <c r="E27" i="94"/>
  <c r="E34" i="94" s="1"/>
  <c r="E30" i="94"/>
  <c r="T9" i="94"/>
  <c r="T12" i="94" s="1"/>
  <c r="V10" i="94" s="1"/>
  <c r="V9" i="94"/>
  <c r="H32" i="94"/>
  <c r="K32" i="94" s="1"/>
  <c r="C35" i="94"/>
  <c r="C34" i="94"/>
  <c r="H28" i="94"/>
  <c r="K28" i="94" s="1"/>
  <c r="L28" i="94" s="1"/>
  <c r="M28" i="94" s="1"/>
  <c r="C30" i="94"/>
  <c r="H26" i="93"/>
  <c r="K26" i="93" s="1"/>
  <c r="E27" i="93"/>
  <c r="E34" i="93" s="1"/>
  <c r="E33" i="93"/>
  <c r="V11" i="93"/>
  <c r="V12" i="93" s="1"/>
  <c r="C30" i="93"/>
  <c r="C31" i="93"/>
  <c r="C32" i="93"/>
  <c r="C29" i="93"/>
  <c r="V20" i="93"/>
  <c r="V22" i="93" s="1"/>
  <c r="H28" i="93"/>
  <c r="K28" i="93" s="1"/>
  <c r="L28" i="93" s="1"/>
  <c r="M28" i="93" s="1"/>
  <c r="E30" i="93"/>
  <c r="E29" i="93"/>
  <c r="C35" i="93"/>
  <c r="C34" i="93"/>
  <c r="E32" i="93"/>
  <c r="L31" i="93" l="1"/>
  <c r="M31" i="93" s="1"/>
  <c r="K31" i="94"/>
  <c r="L31" i="94"/>
  <c r="M31" i="94" s="1"/>
  <c r="V11" i="94"/>
  <c r="V12" i="94" s="1"/>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AB14" i="15"/>
  <c r="AB13" i="15"/>
  <c r="AB12" i="15"/>
  <c r="AB11" i="15"/>
  <c r="AB10" i="15"/>
  <c r="AB9" i="15"/>
  <c r="AB8" i="15"/>
  <c r="W14" i="15"/>
  <c r="W13" i="15"/>
  <c r="W12" i="15"/>
  <c r="W11" i="15"/>
  <c r="W10" i="15"/>
  <c r="W9" i="15"/>
  <c r="W8" i="15"/>
  <c r="C43" i="58"/>
  <c r="C41" i="58"/>
  <c r="Z10" i="15"/>
  <c r="J28" i="61"/>
  <c r="K28" i="61"/>
  <c r="K27" i="61"/>
  <c r="J27" i="61"/>
  <c r="K26" i="61"/>
  <c r="J26" i="61"/>
  <c r="K25" i="61"/>
  <c r="J25" i="61"/>
  <c r="G46" i="14"/>
  <c r="G45" i="14"/>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F21" i="90"/>
  <c r="Q13" i="90"/>
  <c r="R7" i="90"/>
  <c r="Q7" i="90"/>
  <c r="Q6" i="90"/>
  <c r="Q12" i="90" s="1"/>
  <c r="Q5" i="90"/>
  <c r="Q10" i="90" l="1"/>
  <c r="S11" i="90"/>
  <c r="S8" i="90"/>
  <c r="Q14" i="90"/>
  <c r="Q15" i="90" s="1"/>
  <c r="AP35" i="14"/>
  <c r="F12" i="90"/>
  <c r="C8" i="90"/>
  <c r="C9" i="90"/>
  <c r="C32" i="90" s="1"/>
  <c r="E10" i="90"/>
  <c r="E33" i="90" s="1"/>
  <c r="C11" i="90"/>
  <c r="C34" i="90" s="1"/>
  <c r="E11" i="90"/>
  <c r="E34" i="90" s="1"/>
  <c r="C10" i="90"/>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C36" i="90" l="1"/>
  <c r="E36" i="90"/>
  <c r="E30" i="90"/>
  <c r="Q16" i="90"/>
  <c r="S14" i="90" s="1"/>
  <c r="C33" i="90"/>
  <c r="C30" i="90"/>
  <c r="E37" i="90" l="1"/>
  <c r="E38" i="90"/>
  <c r="S12" i="90"/>
  <c r="S13" i="90"/>
  <c r="S15" i="90"/>
  <c r="S18" i="90" s="1"/>
  <c r="C37" i="90"/>
  <c r="C38" i="90"/>
  <c r="S17" i="90" l="1"/>
  <c r="F29" i="90" s="1"/>
  <c r="F31" i="90" s="1"/>
  <c r="G31" i="90" s="1"/>
  <c r="H31" i="90" s="1"/>
  <c r="U35" i="14" s="1"/>
  <c r="G29" i="90"/>
  <c r="D15" i="63"/>
  <c r="C15" i="63" s="1"/>
  <c r="H15" i="63"/>
  <c r="G15" i="63" s="1"/>
  <c r="G16" i="63" s="1"/>
  <c r="I7" i="39"/>
  <c r="I12" i="39" s="1"/>
  <c r="I18" i="39"/>
  <c r="G7" i="39"/>
  <c r="G12" i="39" s="1"/>
  <c r="F7" i="39"/>
  <c r="F12" i="39" s="1"/>
  <c r="E7" i="39"/>
  <c r="E12" i="39" s="1"/>
  <c r="C7" i="39"/>
  <c r="C12" i="39" s="1"/>
  <c r="Z14" i="15"/>
  <c r="Z13" i="15"/>
  <c r="Z12" i="15"/>
  <c r="Z11" i="15"/>
  <c r="Z9" i="15"/>
  <c r="Z8" i="15"/>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2" i="27"/>
  <c r="I22" i="27"/>
  <c r="E22" i="27"/>
  <c r="F12" i="18"/>
  <c r="K22" i="18"/>
  <c r="I22" i="18"/>
  <c r="E22" i="18"/>
  <c r="C22" i="18"/>
  <c r="D19" i="19"/>
  <c r="D23" i="19" s="1"/>
  <c r="A33" i="14" s="1"/>
  <c r="T33" i="14" s="1"/>
  <c r="V59" i="72"/>
  <c r="F6" i="63" s="1"/>
  <c r="V58" i="72"/>
  <c r="V60" i="72" s="1"/>
  <c r="F8" i="63" s="1"/>
  <c r="D3" i="87"/>
  <c r="O3"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58" i="82"/>
  <c r="C60" i="82" s="1"/>
  <c r="H8" i="2" s="1"/>
  <c r="V50" i="82"/>
  <c r="AG46" i="82"/>
  <c r="O3" i="80"/>
  <c r="D3" i="80"/>
  <c r="D3" i="79"/>
  <c r="K23" i="61"/>
  <c r="J23" i="61"/>
  <c r="C16" i="13"/>
  <c r="C27" i="13" s="1"/>
  <c r="C15" i="13"/>
  <c r="C14" i="7"/>
  <c r="C13" i="7"/>
  <c r="A25" i="14" s="1"/>
  <c r="C25" i="14" s="1"/>
  <c r="C14" i="1"/>
  <c r="C18" i="1" s="1"/>
  <c r="C13" i="1"/>
  <c r="C58" i="77"/>
  <c r="C60" i="77" s="1"/>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C19" i="76"/>
  <c r="C10" i="76"/>
  <c r="C11" i="76"/>
  <c r="C26" i="76" s="1"/>
  <c r="E26" i="76" s="1"/>
  <c r="C9" i="76"/>
  <c r="C8" i="76"/>
  <c r="C7" i="76"/>
  <c r="C24" i="76" s="1"/>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4" i="71"/>
  <c r="F11" i="63"/>
  <c r="AP54" i="71"/>
  <c r="H11" i="63"/>
  <c r="J11" i="63"/>
  <c r="BH59" i="72"/>
  <c r="J6" i="63" s="1"/>
  <c r="BH58" i="72"/>
  <c r="BH60" i="72" s="1"/>
  <c r="J8" i="63" s="1"/>
  <c r="J7" i="63" s="1"/>
  <c r="BT3" i="72"/>
  <c r="BI3" i="72"/>
  <c r="AH3" i="72"/>
  <c r="W3" i="72"/>
  <c r="AO59" i="72"/>
  <c r="H6" i="63" s="1"/>
  <c r="AO58" i="72"/>
  <c r="AO60" i="72" s="1"/>
  <c r="H8" i="63" s="1"/>
  <c r="BA3" i="72"/>
  <c r="AP3" i="72"/>
  <c r="CM3" i="72"/>
  <c r="CB3" i="72"/>
  <c r="C59" i="72"/>
  <c r="D6" i="63" s="1"/>
  <c r="C58" i="72"/>
  <c r="C60" i="72" s="1"/>
  <c r="D8" i="63" s="1"/>
  <c r="CL50" i="72"/>
  <c r="CA50" i="72"/>
  <c r="CL46" i="72"/>
  <c r="D11" i="63"/>
  <c r="D53" i="70"/>
  <c r="J15" i="63"/>
  <c r="J18" i="63" s="1"/>
  <c r="F15" i="63"/>
  <c r="E15" i="63" s="1"/>
  <c r="I5" i="63"/>
  <c r="I9" i="63" s="1"/>
  <c r="G5" i="63"/>
  <c r="G10" i="63" s="1"/>
  <c r="E5" i="63"/>
  <c r="E8" i="63" s="1"/>
  <c r="C5" i="63"/>
  <c r="C7" i="63" s="1"/>
  <c r="K20" i="61"/>
  <c r="K21" i="61"/>
  <c r="K22" i="61"/>
  <c r="K24" i="61"/>
  <c r="K19" i="61"/>
  <c r="J17" i="61"/>
  <c r="J14" i="61"/>
  <c r="J11" i="61"/>
  <c r="J8" i="61"/>
  <c r="O3" i="61"/>
  <c r="D3" i="61"/>
  <c r="T20" i="3"/>
  <c r="F28" i="13"/>
  <c r="K6" i="13"/>
  <c r="J6" i="13"/>
  <c r="J10" i="13" s="1"/>
  <c r="J5" i="13"/>
  <c r="F20" i="13"/>
  <c r="J11" i="13" s="1"/>
  <c r="G47" i="14"/>
  <c r="L18" i="18"/>
  <c r="J18" i="18"/>
  <c r="F18" i="18"/>
  <c r="D18" i="18"/>
  <c r="K34" i="3"/>
  <c r="J34" i="3"/>
  <c r="I34" i="3"/>
  <c r="U16" i="3"/>
  <c r="T16" i="3"/>
  <c r="U15" i="3"/>
  <c r="V19" i="3" s="1"/>
  <c r="T15" i="3"/>
  <c r="J18" i="3"/>
  <c r="T21" i="3" s="1"/>
  <c r="G24" i="3"/>
  <c r="F24" i="3"/>
  <c r="E24" i="3"/>
  <c r="E25" i="3" s="1"/>
  <c r="U6" i="3"/>
  <c r="T6" i="3"/>
  <c r="T5" i="3"/>
  <c r="I18" i="3"/>
  <c r="T11" i="3" s="1"/>
  <c r="F18" i="6"/>
  <c r="G18" i="6"/>
  <c r="E18" i="6"/>
  <c r="N6" i="6"/>
  <c r="M6" i="6"/>
  <c r="M10" i="6" s="1"/>
  <c r="M5" i="6"/>
  <c r="N5" i="6" s="1"/>
  <c r="I18" i="6"/>
  <c r="M11" i="6" s="1"/>
  <c r="K6" i="34"/>
  <c r="J6" i="34"/>
  <c r="J10" i="34" s="1"/>
  <c r="J5" i="34"/>
  <c r="K5" i="34" s="1"/>
  <c r="F18" i="34"/>
  <c r="J11" i="34" s="1"/>
  <c r="K6" i="12"/>
  <c r="J6" i="12"/>
  <c r="J10" i="12" s="1"/>
  <c r="J5" i="12"/>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5" i="6" s="1"/>
  <c r="F26" i="6" s="1"/>
  <c r="G24" i="6"/>
  <c r="G26" i="6" s="1"/>
  <c r="C25" i="6"/>
  <c r="C24" i="6"/>
  <c r="E25" i="34"/>
  <c r="E24" i="34"/>
  <c r="E28" i="34" s="1"/>
  <c r="C21" i="32"/>
  <c r="C7" i="13"/>
  <c r="C10" i="13" s="1"/>
  <c r="C7" i="3"/>
  <c r="C11" i="3" s="1"/>
  <c r="C31" i="3" s="1"/>
  <c r="C9" i="19"/>
  <c r="C13" i="19" s="1"/>
  <c r="F7" i="6"/>
  <c r="F12" i="6" s="1"/>
  <c r="G7" i="6"/>
  <c r="G12" i="6" s="1"/>
  <c r="E7" i="6"/>
  <c r="E9" i="6" s="1"/>
  <c r="E24" i="6"/>
  <c r="E25" i="6" s="1"/>
  <c r="C7" i="6"/>
  <c r="C12" i="6" s="1"/>
  <c r="C32" i="6" s="1"/>
  <c r="C7" i="34"/>
  <c r="C1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AG55" i="21" s="1"/>
  <c r="AJ55" i="21" s="1"/>
  <c r="AG56" i="21" s="1"/>
  <c r="E18" i="3"/>
  <c r="A44" i="14"/>
  <c r="G11" i="2"/>
  <c r="W54" i="22"/>
  <c r="D21" i="1"/>
  <c r="D21" i="8"/>
  <c r="E21" i="8"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5" i="12"/>
  <c r="E24" i="12"/>
  <c r="E28" i="12" s="1"/>
  <c r="E27" i="13"/>
  <c r="E28" i="13" s="1"/>
  <c r="E43" i="13" s="1"/>
  <c r="A39" i="14"/>
  <c r="AC39" i="14" s="1"/>
  <c r="D17" i="8"/>
  <c r="D18" i="8"/>
  <c r="D18" i="7"/>
  <c r="D19" i="7" s="1"/>
  <c r="D17"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C20" i="76"/>
  <c r="C23" i="76"/>
  <c r="D8" i="76"/>
  <c r="D7" i="76"/>
  <c r="D20" i="76"/>
  <c r="D22" i="76"/>
  <c r="U5" i="3"/>
  <c r="G34" i="6"/>
  <c r="G25" i="3"/>
  <c r="G26" i="3"/>
  <c r="G27" i="3" s="1"/>
  <c r="G36" i="3" s="1"/>
  <c r="C17" i="8"/>
  <c r="C21" i="8"/>
  <c r="C18" i="8"/>
  <c r="C19" i="8" s="1"/>
  <c r="D21" i="76"/>
  <c r="C28" i="12"/>
  <c r="C26" i="12"/>
  <c r="C17" i="7"/>
  <c r="D11" i="76"/>
  <c r="D9" i="76"/>
  <c r="D10" i="76"/>
  <c r="D19" i="8"/>
  <c r="F28" i="6"/>
  <c r="K23" i="18"/>
  <c r="A41" i="14"/>
  <c r="C41" i="14" s="1"/>
  <c r="AC28" i="14"/>
  <c r="K5" i="12"/>
  <c r="AP39" i="14"/>
  <c r="F26" i="12"/>
  <c r="F27" i="12" s="1"/>
  <c r="F34" i="12"/>
  <c r="C22" i="66"/>
  <c r="C10" i="63"/>
  <c r="C21" i="76"/>
  <c r="U26" i="14"/>
  <c r="C28" i="6"/>
  <c r="C26" i="6"/>
  <c r="C26" i="3"/>
  <c r="C9" i="7"/>
  <c r="C10" i="7"/>
  <c r="C8" i="7"/>
  <c r="AP37" i="14"/>
  <c r="C18" i="7"/>
  <c r="C21" i="7"/>
  <c r="AF27" i="14"/>
  <c r="AE27" i="14"/>
  <c r="AC27" i="14"/>
  <c r="AD27" i="14"/>
  <c r="AI50" i="36"/>
  <c r="L8" i="12"/>
  <c r="AD28" i="14"/>
  <c r="C28" i="34"/>
  <c r="D7" i="32"/>
  <c r="D20" i="32" s="1"/>
  <c r="D8" i="32"/>
  <c r="D10" i="32"/>
  <c r="D11" i="32"/>
  <c r="D9" i="32"/>
  <c r="D25" i="32" s="1"/>
  <c r="E30" i="13"/>
  <c r="AE28" i="14"/>
  <c r="AF28" i="14"/>
  <c r="D23" i="76"/>
  <c r="D26" i="76"/>
  <c r="AP38" i="14"/>
  <c r="G34" i="39"/>
  <c r="C26" i="39"/>
  <c r="I26" i="3"/>
  <c r="I29" i="3" s="1"/>
  <c r="J26" i="3"/>
  <c r="J30" i="3" s="1"/>
  <c r="I10" i="63" l="1"/>
  <c r="I7" i="63"/>
  <c r="G28" i="13"/>
  <c r="A32" i="14"/>
  <c r="C32" i="14" s="1"/>
  <c r="F32" i="6"/>
  <c r="C19" i="7"/>
  <c r="C26" i="7"/>
  <c r="C22" i="7"/>
  <c r="E21" i="7"/>
  <c r="U25" i="14" s="1"/>
  <c r="C25" i="7"/>
  <c r="C24" i="7"/>
  <c r="A24" i="14"/>
  <c r="C17" i="1"/>
  <c r="C19" i="1" s="1"/>
  <c r="T8" i="3"/>
  <c r="T18" i="3"/>
  <c r="V8" i="3"/>
  <c r="V9" i="3"/>
  <c r="J9" i="12"/>
  <c r="E23" i="18"/>
  <c r="G23" i="27"/>
  <c r="C23" i="18"/>
  <c r="K23" i="27"/>
  <c r="I23" i="27"/>
  <c r="E23" i="27"/>
  <c r="C23" i="27"/>
  <c r="C31" i="34"/>
  <c r="C26" i="13"/>
  <c r="C30" i="13" s="1"/>
  <c r="C32" i="13" s="1"/>
  <c r="C28" i="13"/>
  <c r="C35" i="13" s="1"/>
  <c r="J8" i="13"/>
  <c r="L8" i="13"/>
  <c r="F37" i="13"/>
  <c r="F30" i="13"/>
  <c r="F33" i="13" s="1"/>
  <c r="V18" i="3"/>
  <c r="T10" i="3"/>
  <c r="T19" i="3"/>
  <c r="T9" i="3"/>
  <c r="I27" i="3"/>
  <c r="M9" i="6"/>
  <c r="L9" i="12"/>
  <c r="J8" i="12"/>
  <c r="F31" i="13"/>
  <c r="K5" i="13"/>
  <c r="C11" i="13"/>
  <c r="F35" i="13"/>
  <c r="F29" i="13"/>
  <c r="F36" i="13" s="1"/>
  <c r="C12" i="13"/>
  <c r="C9" i="13"/>
  <c r="F34" i="13"/>
  <c r="F32" i="13"/>
  <c r="H18" i="63"/>
  <c r="H19" i="63" s="1"/>
  <c r="H16" i="63"/>
  <c r="H17" i="63" s="1"/>
  <c r="D18" i="63"/>
  <c r="D19" i="63" s="1"/>
  <c r="H11" i="2"/>
  <c r="F13" i="90" s="1"/>
  <c r="C47" i="58" s="1"/>
  <c r="C50" i="58" s="1"/>
  <c r="D50" i="58" s="1"/>
  <c r="A35" i="24"/>
  <c r="T44" i="14" s="1"/>
  <c r="C16" i="75"/>
  <c r="C3" i="75" s="1"/>
  <c r="D20" i="7"/>
  <c r="D10" i="8"/>
  <c r="D24" i="8" s="1"/>
  <c r="C8" i="13"/>
  <c r="C8" i="63"/>
  <c r="C9" i="8"/>
  <c r="C23" i="8" s="1"/>
  <c r="C7" i="8"/>
  <c r="C20" i="8" s="1"/>
  <c r="C8" i="8"/>
  <c r="C22" i="8" s="1"/>
  <c r="C11" i="8"/>
  <c r="C25" i="8" s="1"/>
  <c r="C8" i="6"/>
  <c r="C27" i="6" s="1"/>
  <c r="C36" i="6" s="1"/>
  <c r="AD39" i="14"/>
  <c r="AE39" i="14"/>
  <c r="C27" i="27"/>
  <c r="D27" i="27" s="1"/>
  <c r="C26" i="27"/>
  <c r="D26" i="27" s="1"/>
  <c r="C28" i="27"/>
  <c r="D28" i="27" s="1"/>
  <c r="E8" i="13"/>
  <c r="E39" i="13" s="1"/>
  <c r="E10" i="13"/>
  <c r="H43" i="13" s="1"/>
  <c r="E11" i="13"/>
  <c r="E33"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31" i="13" s="1"/>
  <c r="G31" i="13" s="1"/>
  <c r="F8" i="6"/>
  <c r="F27" i="6" s="1"/>
  <c r="G11" i="6"/>
  <c r="F9" i="6"/>
  <c r="F29" i="6" s="1"/>
  <c r="E8" i="12"/>
  <c r="F10" i="6"/>
  <c r="F30" i="6" s="1"/>
  <c r="F10" i="3"/>
  <c r="I11" i="3"/>
  <c r="E8" i="6"/>
  <c r="F11" i="6"/>
  <c r="F31" i="6" s="1"/>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U60" i="21"/>
  <c r="E26" i="6"/>
  <c r="H26" i="6" s="1"/>
  <c r="E34" i="13"/>
  <c r="G30" i="13"/>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C14" i="19"/>
  <c r="C10" i="19"/>
  <c r="D10" i="19"/>
  <c r="D13" i="19"/>
  <c r="D12" i="19"/>
  <c r="D14" i="19"/>
  <c r="C36" i="14"/>
  <c r="C12" i="34"/>
  <c r="C32" i="34" s="1"/>
  <c r="C9" i="34"/>
  <c r="C29" i="34" s="1"/>
  <c r="C8" i="34"/>
  <c r="C27" i="34" s="1"/>
  <c r="E32" i="34"/>
  <c r="G18" i="63"/>
  <c r="CL51" i="72"/>
  <c r="CN51" i="72" s="1"/>
  <c r="J19" i="63"/>
  <c r="E18" i="63"/>
  <c r="E19" i="63" s="1"/>
  <c r="E16" i="63"/>
  <c r="H7" i="63"/>
  <c r="F7" i="63"/>
  <c r="J16" i="63"/>
  <c r="J17" i="63" s="1"/>
  <c r="F16" i="63"/>
  <c r="F17" i="63" s="1"/>
  <c r="CN50" i="72"/>
  <c r="D16" i="63"/>
  <c r="D17" i="63" s="1"/>
  <c r="D7" i="63"/>
  <c r="AI51" i="36"/>
  <c r="AJ51" i="36"/>
  <c r="U56" i="36" s="1"/>
  <c r="AI51" i="77"/>
  <c r="AJ51" i="77"/>
  <c r="U56" i="77" s="1"/>
  <c r="I23" i="18"/>
  <c r="E26" i="18"/>
  <c r="F26" i="18" s="1"/>
  <c r="E27" i="18"/>
  <c r="F27" i="18" s="1"/>
  <c r="E28" i="18"/>
  <c r="F28" i="18" s="1"/>
  <c r="K27" i="18"/>
  <c r="L27" i="18" s="1"/>
  <c r="D24" i="32"/>
  <c r="E24" i="32" s="1"/>
  <c r="C25" i="32"/>
  <c r="C27" i="32" s="1"/>
  <c r="E27" i="32" s="1"/>
  <c r="E20" i="32"/>
  <c r="F7" i="2"/>
  <c r="C23" i="7"/>
  <c r="AI54" i="21"/>
  <c r="D27" i="7"/>
  <c r="D20" i="1"/>
  <c r="D11" i="19"/>
  <c r="J9" i="34"/>
  <c r="M8" i="6"/>
  <c r="J12" i="12"/>
  <c r="L11" i="12" s="1"/>
  <c r="E22" i="7" l="1"/>
  <c r="V25" i="14" s="1"/>
  <c r="F33" i="6"/>
  <c r="C29" i="13"/>
  <c r="H30" i="13"/>
  <c r="F36" i="6"/>
  <c r="F34" i="6"/>
  <c r="F35" i="6"/>
  <c r="E24" i="7"/>
  <c r="X25" i="14" s="1"/>
  <c r="C22" i="1"/>
  <c r="E22" i="1" s="1"/>
  <c r="V24" i="14" s="1"/>
  <c r="E21" i="1"/>
  <c r="U24" i="14" s="1"/>
  <c r="C8" i="27"/>
  <c r="H39" i="13"/>
  <c r="C28" i="18"/>
  <c r="D28" i="18" s="1"/>
  <c r="C26" i="18"/>
  <c r="D26" i="18" s="1"/>
  <c r="G28" i="27"/>
  <c r="H28" i="27" s="1"/>
  <c r="G27" i="27"/>
  <c r="H27" i="27" s="1"/>
  <c r="G26" i="27"/>
  <c r="H26" i="27" s="1"/>
  <c r="G8" i="27" s="1"/>
  <c r="C34" i="13"/>
  <c r="C36" i="13"/>
  <c r="C31" i="13"/>
  <c r="H31" i="13" s="1"/>
  <c r="I31" i="13" s="1"/>
  <c r="C33" i="13"/>
  <c r="G34" i="13"/>
  <c r="G33" i="13"/>
  <c r="M12" i="6"/>
  <c r="O11" i="6" s="1"/>
  <c r="T22" i="3"/>
  <c r="V20" i="3" s="1"/>
  <c r="T12" i="3"/>
  <c r="V10" i="3" s="1"/>
  <c r="L9" i="13"/>
  <c r="J9" i="13"/>
  <c r="J12" i="13" s="1"/>
  <c r="E32" i="13"/>
  <c r="G32" i="13" s="1"/>
  <c r="H32" i="13" s="1"/>
  <c r="W32" i="14" s="1"/>
  <c r="E35" i="13"/>
  <c r="E29" i="13"/>
  <c r="E36" i="13" s="1"/>
  <c r="I17" i="63"/>
  <c r="J23" i="63" s="1"/>
  <c r="E20" i="8"/>
  <c r="T26" i="14" s="1"/>
  <c r="C17" i="75"/>
  <c r="I18" i="63"/>
  <c r="I19" i="63" s="1"/>
  <c r="J22" i="63" s="1"/>
  <c r="E20" i="7"/>
  <c r="T25" i="14" s="1"/>
  <c r="C26" i="8"/>
  <c r="C27" i="8" s="1"/>
  <c r="E22" i="8"/>
  <c r="V26" i="14" s="1"/>
  <c r="E24" i="8"/>
  <c r="X26" i="14" s="1"/>
  <c r="C37" i="13"/>
  <c r="E25" i="8"/>
  <c r="Y26" i="14" s="1"/>
  <c r="C48" i="58"/>
  <c r="D48" i="58"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6" i="1"/>
  <c r="C28" i="1" s="1"/>
  <c r="E28" i="1" s="1"/>
  <c r="AB24" i="14" s="1"/>
  <c r="C20" i="1"/>
  <c r="E20" i="1" s="1"/>
  <c r="T24" i="14" s="1"/>
  <c r="H23" i="63"/>
  <c r="I9" i="39"/>
  <c r="AI55" i="21"/>
  <c r="H28" i="39"/>
  <c r="C34" i="3"/>
  <c r="C30" i="3"/>
  <c r="E27" i="39"/>
  <c r="H27" i="39" s="1"/>
  <c r="H26" i="39"/>
  <c r="M12" i="39"/>
  <c r="O10" i="39" s="1"/>
  <c r="E31" i="39"/>
  <c r="E32" i="39"/>
  <c r="H32" i="39" s="1"/>
  <c r="E29" i="39"/>
  <c r="H29" i="39" s="1"/>
  <c r="E33" i="39"/>
  <c r="E30" i="39"/>
  <c r="C30" i="39"/>
  <c r="C33" i="39"/>
  <c r="C36" i="39"/>
  <c r="J9" i="3"/>
  <c r="U32" i="14"/>
  <c r="I30"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F22" i="63"/>
  <c r="U56" i="82"/>
  <c r="K26" i="27"/>
  <c r="I28" i="18"/>
  <c r="J28" i="18" s="1"/>
  <c r="I27" i="18"/>
  <c r="J27" i="18" s="1"/>
  <c r="I26" i="18"/>
  <c r="J26" i="18" s="1"/>
  <c r="E8" i="18"/>
  <c r="C26" i="32"/>
  <c r="E25" i="32"/>
  <c r="L10" i="12"/>
  <c r="L12" i="12" s="1"/>
  <c r="E25" i="1"/>
  <c r="Y24" i="14" s="1"/>
  <c r="E24" i="1"/>
  <c r="X24" i="14" s="1"/>
  <c r="H33" i="13" l="1"/>
  <c r="I33" i="13" s="1"/>
  <c r="H34" i="13"/>
  <c r="O10" i="6"/>
  <c r="O12" i="6" s="1"/>
  <c r="I26" i="6" s="1"/>
  <c r="I33" i="6" s="1"/>
  <c r="J33" i="6" s="1"/>
  <c r="K33" i="6" s="1"/>
  <c r="I48" i="21"/>
  <c r="C63" i="21"/>
  <c r="V32" i="14"/>
  <c r="V11" i="3"/>
  <c r="V12" i="3" s="1"/>
  <c r="V21" i="3"/>
  <c r="V22" i="3" s="1"/>
  <c r="L11" i="13"/>
  <c r="L10" i="13"/>
  <c r="G29" i="13"/>
  <c r="C59" i="36"/>
  <c r="G6" i="2" s="1"/>
  <c r="I8" i="6" s="1"/>
  <c r="I47" i="36"/>
  <c r="E26" i="8"/>
  <c r="Z26" i="14" s="1"/>
  <c r="C28" i="8"/>
  <c r="E28" i="8" s="1"/>
  <c r="AB26" i="14" s="1"/>
  <c r="D27" i="8"/>
  <c r="E27" i="8" s="1"/>
  <c r="AA26"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7" i="13"/>
  <c r="G37" i="13" s="1"/>
  <c r="H37" i="13" s="1"/>
  <c r="AB32" i="14" s="1"/>
  <c r="E34" i="3"/>
  <c r="E35" i="3"/>
  <c r="Y37" i="14"/>
  <c r="V37" i="14"/>
  <c r="AA37" i="14"/>
  <c r="X37" i="14"/>
  <c r="T37" i="14"/>
  <c r="V27" i="14"/>
  <c r="E35" i="34"/>
  <c r="H27" i="6"/>
  <c r="H34" i="6" s="1"/>
  <c r="E34" i="6"/>
  <c r="J26" i="6"/>
  <c r="X27" i="14"/>
  <c r="N46" i="77"/>
  <c r="C59" i="77" s="1"/>
  <c r="C35" i="34"/>
  <c r="C34" i="12"/>
  <c r="G34" i="12"/>
  <c r="W27" i="14"/>
  <c r="E35" i="6"/>
  <c r="H35" i="6" s="1"/>
  <c r="G33" i="12"/>
  <c r="H33" i="12" s="1"/>
  <c r="E34" i="34"/>
  <c r="E23" i="1"/>
  <c r="W24" i="14" s="1"/>
  <c r="C35" i="12"/>
  <c r="I32" i="13"/>
  <c r="Y27" i="14"/>
  <c r="G35" i="13"/>
  <c r="H35" i="13" s="1"/>
  <c r="Z32" i="14" s="1"/>
  <c r="F25" i="63"/>
  <c r="J25" i="63"/>
  <c r="D25" i="63"/>
  <c r="K27" i="27"/>
  <c r="L27" i="27" s="1"/>
  <c r="L26" i="27"/>
  <c r="K28" i="27"/>
  <c r="L28" i="27" s="1"/>
  <c r="I26" i="27"/>
  <c r="J26" i="27" s="1"/>
  <c r="I28" i="27"/>
  <c r="J28" i="27" s="1"/>
  <c r="I27" i="27"/>
  <c r="J27" i="27" s="1"/>
  <c r="X32" i="14" l="1"/>
  <c r="I34" i="13"/>
  <c r="Y32" i="14"/>
  <c r="I28" i="6"/>
  <c r="J28" i="6" s="1"/>
  <c r="K28" i="6" s="1"/>
  <c r="U36" i="14" s="1"/>
  <c r="L12" i="13"/>
  <c r="H29" i="13"/>
  <c r="T32" i="14" s="1"/>
  <c r="G36" i="13"/>
  <c r="H36" i="13" s="1"/>
  <c r="AA32" i="14" s="1"/>
  <c r="F6" i="2"/>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I30" i="6"/>
  <c r="J30" i="6" s="1"/>
  <c r="K30" i="6" s="1"/>
  <c r="I31" i="6"/>
  <c r="J31" i="6" s="1"/>
  <c r="K31" i="6" s="1"/>
  <c r="L31" i="6" s="1"/>
  <c r="I32" i="6"/>
  <c r="J32" i="6" s="1"/>
  <c r="K32" i="6" s="1"/>
  <c r="I29" i="6"/>
  <c r="J29" i="6" s="1"/>
  <c r="K29" i="6" s="1"/>
  <c r="L33" i="6"/>
  <c r="Z36" i="14"/>
  <c r="H34" i="12"/>
  <c r="L28" i="6" l="1"/>
  <c r="W34" i="14"/>
  <c r="J8" i="93"/>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family val="2"/>
          </rPr>
          <t>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Bastien Borgna</author>
    <author>Dan Jones</author>
    <author>Tuitert, Jet</author>
  </authors>
  <commentList>
    <comment ref="A1" authorId="0" shapeId="0" xr:uid="{BF2A51FB-BB43-4AD0-9E22-84864AB0DE54}">
      <text>
        <r>
          <rPr>
            <b/>
            <sz val="9"/>
            <color indexed="81"/>
            <rFont val="Tahoma"/>
            <charset val="1"/>
          </rPr>
          <t>Bastien Borgna:</t>
        </r>
        <r>
          <rPr>
            <sz val="9"/>
            <color indexed="81"/>
            <rFont val="Tahoma"/>
            <charset val="1"/>
          </rPr>
          <t xml:space="preserve">
</t>
        </r>
      </text>
    </comment>
    <comment ref="R7" authorId="1" shapeId="0" xr:uid="{DF9E5BFE-4DE9-493B-9535-DCF8279CC97A}">
      <text>
        <r>
          <rPr>
            <sz val="9"/>
            <color indexed="81"/>
            <rFont val="Tahoma"/>
            <family val="2"/>
          </rPr>
          <t>Max allowable depth from rules</t>
        </r>
      </text>
    </comment>
    <comment ref="E15" authorId="2" shapeId="0" xr:uid="{102AE8AF-23B3-4C49-873D-503F622C981F}">
      <text>
        <r>
          <rPr>
            <b/>
            <sz val="9"/>
            <color indexed="81"/>
            <rFont val="Tahoma"/>
            <family val="2"/>
          </rPr>
          <t>Please fill out the bulkhead's maximum width.</t>
        </r>
      </text>
    </comment>
    <comment ref="E16" authorId="2" shapeId="0" xr:uid="{C3404A78-0907-41EB-A6CE-A58663FD406A}">
      <text>
        <r>
          <rPr>
            <b/>
            <sz val="9"/>
            <color indexed="81"/>
            <rFont val="Tahoma"/>
            <family val="2"/>
          </rPr>
          <t>Please fill out the bulkhead's maximum height.</t>
        </r>
      </text>
    </comment>
    <comment ref="B23" authorId="1" shapeId="0" xr:uid="{2DCDEB31-3039-4D67-8BC2-8F18426A128A}">
      <text>
        <r>
          <rPr>
            <b/>
            <sz val="9"/>
            <color indexed="81"/>
            <rFont val="Tahoma"/>
            <family val="2"/>
          </rPr>
          <t>This is the side closest to the driver</t>
        </r>
      </text>
    </comment>
    <comment ref="B24" authorId="1"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1" shapeId="0" xr:uid="{2BEB4FE1-19B4-4A26-9942-D424E91DAAEF}">
      <text>
        <r>
          <rPr>
            <b/>
            <sz val="9"/>
            <color indexed="81"/>
            <rFont val="Tahoma"/>
            <family val="2"/>
          </rPr>
          <t>Calculated from bulkhead and cutout sizes entered in cells L15 to L19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l.katan@formula-student.nl</author>
    <author>Dan Jones</author>
  </authors>
  <commentList>
    <comment ref="B17" authorId="0" shapeId="0" xr:uid="{82622371-35A6-4AA0-BA83-1BADE431AF40}">
      <text>
        <r>
          <rPr>
            <sz val="10"/>
            <rFont val="Arial"/>
            <family val="2"/>
          </rPr>
          <t xml:space="preserve">Length of the SHB.
If divided into multiple sections, enter the longest section to which a harness strap is attached to.
</t>
        </r>
      </text>
    </comment>
    <comment ref="B18" authorId="0" shapeId="0" xr:uid="{715A4830-406E-4034-B048-9E9BE9BDC24C}">
      <text>
        <r>
          <rPr>
            <sz val="10"/>
            <rFont val="Arial"/>
            <family val="2"/>
          </rPr>
          <t>Distance from shoulder harness strap centerline to nearest node centerline</t>
        </r>
      </text>
    </comment>
    <comment ref="B22" authorId="1" shapeId="0" xr:uid="{00000000-0006-0000-0F00-000001000000}">
      <text>
        <r>
          <rPr>
            <b/>
            <sz val="9"/>
            <color indexed="81"/>
            <rFont val="Tahoma"/>
            <family val="2"/>
          </rPr>
          <t>This is the side closest to the driver</t>
        </r>
      </text>
    </comment>
    <comment ref="B23" authorId="1"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l.katan@formula-student.nl</author>
  </authors>
  <commentList>
    <comment ref="U9" authorId="0" shapeId="0" xr:uid="{F401FA0F-2138-455C-B12A-F92967B96950}">
      <text>
        <r>
          <rPr>
            <sz val="10"/>
            <rFont val="Arial"/>
            <family val="2"/>
          </rPr>
          <t xml:space="preserve">Length of the tube.
If divided into multiple sections, enter the longest section to which a harness strap is attached to.
</t>
        </r>
      </text>
    </comment>
    <comment ref="U10" authorId="0" shapeId="0" xr:uid="{6B0941C5-4A25-41BC-82A9-25F940CBD0FD}">
      <text>
        <r>
          <rPr>
            <sz val="10"/>
            <rFont val="Arial"/>
            <family val="2"/>
          </rPr>
          <t>Distance from shoulder harness strap centerline to nearest node centerline
For monocoque, enter zero</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family val="2"/>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family val="2"/>
          </rPr>
          <t xml:space="preserve">Set to "YES" if a removable rear panel/plate is present (through which the TSAC can be removed). </t>
        </r>
      </text>
    </comment>
    <comment ref="F5" authorId="0" shapeId="0" xr:uid="{2F279780-7F12-43AC-9B83-5FF7F4078DDB}">
      <text>
        <r>
          <rPr>
            <sz val="10"/>
            <rFont val="Arial"/>
            <family val="2"/>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<sst xmlns="http://schemas.openxmlformats.org/spreadsheetml/2006/main" count="3482" uniqueCount="1028">
  <si>
    <t>V1.0</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</si>
  <si>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</si>
  <si>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</si>
  <si>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</si>
  <si>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</si>
  <si>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</si>
  <si>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</si>
  <si>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</si>
  <si>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</si>
  <si>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</si>
  <si>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</si>
  <si>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</si>
  <si>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</si>
  <si>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</si>
  <si>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</si>
  <si>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First release for 2024 rules</t>
  </si>
  <si>
    <t>-Read_Me and Coversheet: removed redundant text</t>
  </si>
  <si>
    <t>-TAB Cover Sheet: Type of Vehicle selection in D7 results in TAB Firewall greyed out area's, additional checked value for front hoop brace</t>
  </si>
  <si>
    <t>-TAB's A2.2 Significant Changes &amp; MaterialData, T3.5 Laminate Test and other T3.5 TAB's repositioned</t>
  </si>
  <si>
    <t>-TAB T3.5 Laminate Test: Adjusted formula for energy calculation. Added note for absorbed energy &lt;65J. Added note for panel height != 275 mm. Fixed wrong format for inserted values</t>
  </si>
  <si>
    <t>-General: added note for asymmetrical laminates throughout sheet</t>
  </si>
  <si>
    <t>-General: more decimals displayed in certain input cells</t>
  </si>
  <si>
    <t>-TAB T3.9 Front Hoop Tubing: additional editable area (for welding, heat treatment information)</t>
  </si>
  <si>
    <t>-TAB T4.5 Shoulder Harness Bar: calculation for max. deflection and bending stress integrated</t>
  </si>
  <si>
    <t>-TAB T4.5 Harness Attachments: calculation for max. deflection and bending stress integrated</t>
  </si>
  <si>
    <t>-TAB T3.16.6&amp;3.17.5 Prim.Struc.Att.: Adjusted Formula for bolt distribution</t>
  </si>
  <si>
    <t>-TAB EV5.5 Accumulator Container: Changed checkboxes and added guidance notes.</t>
  </si>
  <si>
    <t>-TAB EV5.5 Acc. Stack Construction: Changed checkboxes and added guidance notes. Removed redundant segment declaration.</t>
  </si>
  <si>
    <t>-TAB EV5.5.4 Alt. Matl - Shear: both perimeter shear peak values to be input, lower used for shear strength calculation, link to guidance notes included</t>
  </si>
  <si>
    <t>-Guidance Notes added for: Half Car Proof (Number of Tubes), Anisotropic Laminates, Accumulator Material Properties, TSAC, Stack and Cell Fixation, Friction-based Cell Fixation, Updated EV4.4 Guidance Notes Images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</si>
  <si>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</si>
  <si>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</si>
  <si>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</si>
  <si>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</si>
  <si>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</si>
  <si>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</si>
  <si>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</si>
  <si>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</si>
  <si>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</si>
  <si>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</si>
  <si>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</si>
  <si>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</si>
  <si>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</si>
  <si>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</si>
  <si>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</si>
  <si>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</si>
  <si>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</si>
  <si>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</si>
  <si>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</si>
  <si>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</si>
  <si>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</si>
  <si>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</si>
  <si>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</si>
  <si>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</si>
  <si>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</si>
  <si>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</si>
  <si>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</si>
  <si>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</si>
  <si>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</si>
  <si>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</si>
  <si>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</si>
  <si>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</si>
  <si>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</si>
  <si>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</si>
  <si>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</si>
  <si>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</si>
  <si>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</si>
  <si>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</si>
  <si>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</si>
  <si>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</si>
  <si>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</si>
  <si>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</si>
  <si>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</si>
  <si>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</si>
  <si>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</si>
  <si>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</si>
  <si>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</si>
  <si>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</si>
  <si>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</si>
  <si>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</si>
  <si>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</si>
  <si>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</si>
  <si>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</si>
  <si>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</si>
  <si>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</si>
  <si>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</si>
  <si>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</si>
  <si>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</si>
  <si>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</si>
  <si>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</si>
  <si>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</si>
  <si>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</si>
  <si>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</si>
  <si>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</si>
  <si>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</si>
  <si>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</si>
  <si>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</si>
  <si>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</si>
  <si>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</si>
  <si>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</si>
  <si>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</si>
  <si>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</si>
  <si>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</si>
  <si>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</si>
  <si>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</si>
  <si>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</si>
  <si>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</si>
  <si>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</si>
  <si>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</si>
  <si>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</si>
  <si>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</si>
  <si>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</si>
  <si>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</si>
  <si>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</si>
  <si>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</si>
  <si>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</si>
  <si>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</si>
  <si>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</si>
  <si>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</si>
  <si>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</si>
  <si>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</si>
  <si>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</si>
  <si>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</si>
  <si>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</si>
  <si>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</si>
  <si>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</si>
  <si>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</si>
  <si>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</si>
  <si>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</si>
  <si>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</si>
  <si>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</si>
  <si>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</si>
  <si>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</si>
  <si>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</si>
  <si>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</si>
  <si>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</si>
  <si>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</si>
  <si>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</si>
  <si>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</si>
  <si>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</si>
  <si>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</si>
  <si>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</si>
  <si>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</si>
  <si>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</si>
  <si>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</si>
  <si>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</si>
  <si>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</si>
  <si>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</si>
  <si>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</si>
  <si>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</si>
  <si>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</si>
  <si>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</si>
  <si>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</si>
  <si>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</si>
  <si>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</si>
  <si>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</si>
  <si>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</si>
  <si>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</si>
  <si>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</si>
  <si>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</si>
  <si>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</si>
  <si>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</si>
  <si>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</si>
  <si>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</si>
  <si>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</si>
  <si>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</si>
  <si>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</si>
  <si>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</si>
  <si>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</si>
  <si>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</si>
  <si>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</si>
  <si>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</si>
  <si>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</si>
  <si>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</si>
  <si>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</si>
  <si>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</si>
  <si>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</si>
  <si>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</si>
  <si>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</si>
  <si>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</si>
  <si>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</si>
  <si>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</si>
  <si>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</si>
  <si>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</si>
  <si>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</si>
  <si>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</si>
  <si>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</si>
  <si>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</si>
  <si>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</si>
  <si>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</si>
  <si>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</si>
  <si>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</si>
  <si>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</si>
  <si>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</si>
  <si>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</si>
  <si>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</si>
  <si>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</si>
  <si>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</si>
  <si>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</si>
  <si>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</si>
  <si>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</si>
  <si>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</si>
  <si>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</si>
  <si>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</si>
  <si>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</si>
  <si>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</si>
  <si>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</si>
  <si>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</si>
  <si>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</si>
  <si>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</si>
  <si>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</si>
  <si>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</si>
  <si>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</si>
  <si>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</si>
  <si>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</si>
  <si>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</si>
  <si>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</si>
  <si>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</si>
  <si>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</si>
  <si>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</si>
  <si>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</si>
  <si>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</si>
  <si>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</si>
  <si>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</si>
  <si>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</si>
  <si>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</si>
  <si>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</si>
  <si>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</si>
  <si>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</si>
  <si>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</si>
  <si>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</si>
  <si>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</si>
  <si>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</si>
  <si>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</si>
  <si>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</si>
  <si>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</si>
  <si>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</si>
  <si>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</si>
  <si>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</si>
  <si>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</si>
  <si>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</si>
  <si>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</si>
  <si>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</si>
  <si>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</si>
  <si>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</si>
  <si>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</si>
  <si>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</si>
  <si>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</si>
  <si>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</si>
  <si>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</si>
  <si>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</si>
  <si>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</si>
  <si>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</si>
  <si>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</si>
  <si>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</si>
  <si>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</si>
  <si>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</si>
  <si>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</si>
  <si>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</si>
  <si>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</si>
  <si>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</si>
  <si>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</si>
  <si>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</si>
  <si>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</si>
  <si>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</si>
  <si>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</si>
  <si>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</si>
  <si>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</si>
  <si>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</si>
  <si>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</si>
  <si>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</si>
  <si>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</si>
  <si>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</si>
  <si>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</si>
  <si>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</si>
  <si>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 (no pictures of data):</t>
  </si>
  <si>
    <r>
      <t xml:space="preserve">The given units are mandatory. </t>
    </r>
    <r>
      <rPr>
        <b/>
        <sz val="10"/>
        <rFont val="Verdana"/>
        <family val="2"/>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</si>
  <si>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</si>
  <si>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</si>
  <si>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</si>
  <si>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</si>
  <si>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</si>
  <si>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</si>
  <si>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</si>
  <si>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</si>
  <si>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</si>
  <si>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</si>
  <si>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</si>
  <si>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</si>
  <si>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</si>
  <si>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</si>
  <si>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</si>
  <si>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</si>
  <si>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</si>
  <si>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</si>
  <si>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</si>
  <si>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</si>
  <si>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</si>
  <si>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</si>
  <si>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</si>
  <si>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</si>
  <si>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</si>
  <si>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</si>
  <si>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 xml:space="preserve"> SES - T3.5.9 PERIMETER SHEAR TEST RESULTS</t>
  </si>
  <si>
    <t>Link to GUIDANCE NOTES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</si>
  <si>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</si>
  <si>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</si>
  <si>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</si>
  <si>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</si>
  <si>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Curve </t>
    </r>
    <r>
      <rPr>
        <sz val="10"/>
        <color indexed="10"/>
        <rFont val="Verdana"/>
        <family val="2"/>
      </rPr>
      <t>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</si>
  <si>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</si>
  <si>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</si>
  <si>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</si>
  <si>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</si>
  <si>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</si>
  <si>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</si>
  <si>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</si>
  <si>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</si>
  <si>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</si>
  <si>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</si>
  <si>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</si>
  <si>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</si>
  <si>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</si>
  <si>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</si>
  <si>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</si>
  <si>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</si>
  <si>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</si>
  <si>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</si>
  <si>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</si>
  <si>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</si>
  <si>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</si>
  <si>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</si>
  <si>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</si>
  <si>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</si>
  <si>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</si>
  <si>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</si>
  <si>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</si>
  <si>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</si>
  <si>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</si>
  <si>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</si>
  <si>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</si>
  <si>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</si>
  <si>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</si>
  <si>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</si>
  <si>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</si>
  <si>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</si>
  <si>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Front Hoop Structural Equivalency</t>
  </si>
  <si>
    <t>CAD Screenshots / Images proving all dimensions</t>
  </si>
  <si>
    <t>CAD Screenshots / Images proving all dimensions and any additional proof (heat treatment by professional company incl. receipt) must be appended below</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</si>
  <si>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</si>
  <si>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</si>
  <si>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</si>
  <si>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</si>
  <si>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</si>
  <si>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</si>
  <si>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</si>
  <si>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</si>
  <si>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</si>
  <si>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</si>
  <si>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</si>
  <si>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</si>
  <si>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</si>
  <si>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</si>
  <si>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</si>
  <si>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</si>
  <si>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</si>
  <si>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</si>
  <si>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</si>
  <si>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</si>
  <si>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</si>
  <si>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</si>
  <si>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</si>
  <si>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</si>
  <si>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</si>
  <si>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</si>
  <si>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</si>
  <si>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</si>
  <si>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</si>
  <si>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Link to GUIDANCE NOTES for anisotropic laminates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</si>
  <si>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</si>
  <si>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</si>
  <si>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</si>
  <si>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</si>
  <si>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</si>
  <si>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</si>
  <si>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</si>
  <si>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</si>
  <si>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</si>
  <si>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</si>
  <si>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</si>
  <si>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</si>
  <si>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</si>
  <si>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</si>
  <si>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</si>
  <si>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</si>
  <si>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</si>
  <si>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</si>
  <si>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</si>
  <si>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</si>
  <si>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</si>
  <si>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</si>
  <si>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</si>
  <si>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</si>
  <si>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</si>
  <si>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</si>
  <si>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</si>
  <si>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</si>
  <si>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</si>
  <si>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</si>
  <si>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</si>
  <si>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</si>
  <si>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</si>
  <si>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</si>
  <si>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</si>
  <si>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</si>
  <si>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</si>
  <si>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</si>
  <si>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</si>
  <si>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</si>
  <si>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</si>
  <si>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</si>
  <si>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</si>
  <si>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</si>
  <si>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</si>
  <si>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</si>
  <si>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</si>
  <si>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</si>
  <si>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</si>
  <si>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</si>
  <si>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</si>
  <si>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</si>
  <si>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</si>
  <si>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</si>
  <si>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</si>
  <si>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</si>
  <si>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</si>
  <si>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</si>
  <si>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</si>
  <si>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</si>
  <si>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</si>
  <si>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</si>
  <si>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</si>
  <si>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</si>
  <si>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</si>
  <si>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</si>
  <si>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</si>
  <si>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</si>
  <si>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</si>
  <si>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</si>
  <si>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</si>
  <si>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</si>
  <si>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</si>
  <si>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</si>
  <si>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</si>
  <si>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</si>
  <si>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t>Link to GUIDANCE NOTES Tractive System Protection</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</si>
  <si>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</si>
  <si>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</si>
  <si>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</si>
  <si>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</si>
  <si>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</si>
  <si>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</si>
  <si>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</si>
  <si>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</si>
  <si>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</si>
  <si>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</si>
  <si>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</si>
  <si>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</si>
  <si>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</si>
  <si>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</si>
  <si>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</si>
  <si>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</si>
  <si>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</si>
  <si>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</si>
  <si>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</si>
  <si>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</si>
  <si>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</si>
  <si>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</si>
  <si>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</si>
  <si>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</si>
  <si>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</si>
  <si>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</si>
  <si>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</si>
  <si>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</si>
  <si>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</si>
  <si>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</si>
  <si>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</si>
  <si>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</si>
  <si>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</si>
  <si>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</si>
  <si>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</si>
  <si>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 xml:space="preserve"> STRUCTURAL EQUIVALENCY SPREADSHEET - HARNESS ATTACHMENT TEST RESULTS</t>
  </si>
  <si>
    <t>[Tubing Only] Calculation</t>
  </si>
  <si>
    <t>Lap belt only</t>
  </si>
  <si>
    <t>&lt;-- Selection Drop-down</t>
  </si>
  <si>
    <t>Anti-submarine</t>
  </si>
  <si>
    <t>E</t>
  </si>
  <si>
    <t>Harness distance to nearest frame node [mm]</t>
  </si>
  <si>
    <t>I m^4</t>
  </si>
  <si>
    <t>Deflection</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</si>
  <si>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</si>
  <si>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</si>
  <si>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</si>
  <si>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</si>
  <si>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</si>
  <si>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</si>
  <si>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</si>
  <si>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</si>
  <si>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</si>
  <si>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</si>
  <si>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</si>
  <si>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</si>
  <si>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</si>
  <si>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</si>
  <si>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</si>
  <si>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</si>
  <si>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</si>
  <si>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</si>
  <si>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Show the distance between the Lap Belt &amp; Anti-submarine Belt Attachment</t>
  </si>
  <si>
    <t>Lap Belt Attachment</t>
  </si>
  <si>
    <t>Anti-submarine Belt Attachment</t>
  </si>
  <si>
    <t>(&gt;= 6500N)</t>
  </si>
  <si>
    <t>Combined Lap Belt &amp; Anti-submarine Belt Attachment</t>
  </si>
  <si>
    <t>(&gt;= 19500N)</t>
  </si>
  <si>
    <t>F 
(N)</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</si>
  <si>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</si>
  <si>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</si>
  <si>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</si>
  <si>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</si>
  <si>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</si>
  <si>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</si>
  <si>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</si>
  <si>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</si>
  <si>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</si>
  <si>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</si>
  <si>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</si>
  <si>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</si>
  <si>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</si>
  <si>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</si>
  <si>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</si>
  <si>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</si>
  <si>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</si>
  <si>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</si>
  <si>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</si>
  <si>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</si>
  <si>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</si>
  <si>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</si>
  <si>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</si>
  <si>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</si>
  <si>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</si>
  <si>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</si>
  <si>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</si>
  <si>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</si>
  <si>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</si>
  <si>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</si>
  <si>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</si>
  <si>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</si>
  <si>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</si>
  <si>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</si>
  <si>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</si>
  <si>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</si>
  <si>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</si>
  <si>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</si>
  <si>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</si>
  <si>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</si>
  <si>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</si>
  <si>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</si>
  <si>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</si>
  <si>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</si>
  <si>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</si>
  <si>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</si>
  <si>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</si>
  <si>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</si>
  <si>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r>
      <t xml:space="preserve">Datasheet fire resistant material &amp; heat insulation proof. </t>
    </r>
    <r>
      <rPr>
        <b/>
        <sz val="10"/>
        <color rgb="FFFF0000"/>
        <rFont val="Arial"/>
        <family val="2"/>
      </rPr>
      <t>Describe the concept of the firewall and show drawings/pictures.</t>
    </r>
  </si>
  <si>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</si>
  <si>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</si>
  <si>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</si>
  <si>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</si>
  <si>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</si>
  <si>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</si>
  <si>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</si>
  <si>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</si>
  <si>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</si>
  <si>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</si>
  <si>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</si>
  <si>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</si>
  <si>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</si>
  <si>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</si>
  <si>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</si>
  <si>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</si>
  <si>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</si>
  <si>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</si>
  <si>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</si>
  <si>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</si>
  <si>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In the table 'Mandatory' describes proof, that is required in any case.</t>
  </si>
  <si>
    <t>Optional' proof may be required to show rules compliance depending on your concept.</t>
  </si>
  <si>
    <t>Rule
(Link to guidance note)</t>
  </si>
  <si>
    <t>Compliance
 shown?</t>
  </si>
  <si>
    <t>CAD proof
needed</t>
  </si>
  <si>
    <t>Datasheet 
proof needed</t>
  </si>
  <si>
    <t>Manual calculations
needed</t>
  </si>
  <si>
    <t>X</t>
  </si>
  <si>
    <t>Y</t>
  </si>
  <si>
    <t>Z</t>
  </si>
  <si>
    <t xml:space="preserve">EV5.4.6 </t>
  </si>
  <si>
    <t>Segment insulation</t>
  </si>
  <si>
    <t>Mandatory</t>
  </si>
  <si>
    <t>Optional</t>
  </si>
  <si>
    <t>EV5.5.3</t>
  </si>
  <si>
    <t>TSAC materials</t>
  </si>
  <si>
    <t>EV5.5.4</t>
  </si>
  <si>
    <t>TSAC material dimensions</t>
  </si>
  <si>
    <t>EV5.5.5</t>
  </si>
  <si>
    <t>Composite TSAC</t>
  </si>
  <si>
    <t>EV5.5.6</t>
  </si>
  <si>
    <t>TSAC internal walls</t>
  </si>
  <si>
    <t>EV5.5.7</t>
  </si>
  <si>
    <t>Segment separation</t>
  </si>
  <si>
    <t>EV5.5.8</t>
  </si>
  <si>
    <t>Wall attachment</t>
  </si>
  <si>
    <t>Lid mounting</t>
  </si>
  <si>
    <t>Lid bending</t>
  </si>
  <si>
    <t>Stack -&gt; Casing</t>
  </si>
  <si>
    <t>Casing</t>
  </si>
  <si>
    <t>Casing -&gt; Attachment</t>
  </si>
  <si>
    <t>EV5.5.11</t>
  </si>
  <si>
    <t>Fasteners</t>
  </si>
  <si>
    <t>EV5.5.12</t>
  </si>
  <si>
    <t>AIR/Fuse seperation</t>
  </si>
  <si>
    <t>EV5.5.14</t>
  </si>
  <si>
    <t>Holes &amp; cutouts</t>
  </si>
  <si>
    <t>T10.1.2</t>
  </si>
  <si>
    <t>Critical fastener size</t>
  </si>
  <si>
    <t>T10.1.4</t>
  </si>
  <si>
    <t>e/D</t>
  </si>
  <si>
    <t>T3.2.8</t>
  </si>
  <si>
    <t>Bonded joints</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</si>
  <si>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</si>
  <si>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</si>
  <si>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</si>
  <si>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</si>
  <si>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</si>
  <si>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</si>
  <si>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Other</t>
  </si>
  <si>
    <t>Datasheet/ Testing proof</t>
  </si>
  <si>
    <t>TSAC Materials</t>
  </si>
  <si>
    <t>EV5.5.9</t>
  </si>
  <si>
    <t>Pouch cell fixation</t>
  </si>
  <si>
    <t>EV5.5.10</t>
  </si>
  <si>
    <t>Friction-based cell fixation</t>
  </si>
  <si>
    <t>Cell -&gt; Stack</t>
  </si>
  <si>
    <t>Stack</t>
  </si>
  <si>
    <t>Enter annotated images/drawings below showing your design complies with all above requirements.</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</si>
  <si>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</si>
  <si>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</si>
  <si>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</si>
  <si>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</si>
  <si>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</si>
  <si>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Link to guidance note</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</si>
  <si>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</si>
  <si>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</si>
  <si>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</si>
  <si>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</si>
  <si>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</si>
  <si>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</si>
  <si>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</si>
  <si>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</si>
  <si>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</si>
  <si>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</si>
  <si>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</si>
  <si>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</si>
  <si>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</si>
  <si>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0.01</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</si>
  <si>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</si>
  <si>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</si>
  <si>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</si>
  <si>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</si>
  <si>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</si>
  <si>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</si>
  <si>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</si>
  <si>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</si>
  <si>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guidance notes)</t>
  </si>
  <si>
    <t>(N)</t>
  </si>
  <si>
    <t>(Determines Shear Strength)</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</si>
  <si>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</si>
  <si>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</si>
  <si>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</si>
  <si>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</si>
  <si>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</si>
  <si>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</si>
  <si>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</si>
  <si>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</si>
  <si>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</si>
  <si>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</si>
  <si>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</si>
  <si>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</si>
  <si>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</si>
  <si>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</si>
  <si>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</si>
  <si>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</si>
  <si>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</si>
  <si>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</si>
  <si>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</si>
  <si>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</si>
  <si>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</si>
  <si>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</si>
  <si>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</si>
  <si>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</si>
  <si>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</si>
  <si>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</si>
  <si>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</si>
  <si>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</si>
  <si>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</si>
  <si>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</si>
  <si>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</si>
  <si>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</si>
  <si>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</si>
  <si>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</si>
  <si>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</si>
  <si>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</si>
  <si>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</si>
  <si>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</si>
  <si>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</si>
  <si>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</si>
  <si>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</si>
  <si>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</si>
  <si>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</si>
  <si>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</si>
  <si>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</si>
  <si>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</si>
  <si>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</si>
  <si>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</si>
  <si>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</si>
  <si>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</si>
  <si>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</si>
  <si>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</si>
  <si>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</si>
  <si>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</si>
  <si>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</si>
  <si>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</si>
  <si>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</si>
  <si>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</si>
  <si>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</si>
  <si>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</si>
  <si>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</si>
  <si>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</si>
  <si>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</si>
  <si>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</si>
  <si>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</si>
  <si>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</si>
  <si>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</si>
  <si>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</si>
  <si>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</si>
  <si>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</si>
  <si>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</si>
  <si>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</si>
  <si>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</si>
  <si>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</si>
  <si>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</si>
  <si>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</si>
  <si>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</si>
  <si>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</si>
  <si>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</si>
  <si>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</si>
  <si>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</si>
  <si>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</si>
  <si>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</si>
  <si>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</si>
  <si>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</si>
  <si>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</si>
  <si>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</si>
  <si>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</si>
  <si>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</si>
  <si>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</si>
  <si>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</si>
  <si>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</si>
  <si>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</si>
  <si>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</si>
  <si>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</si>
  <si>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</si>
  <si>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</si>
  <si>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</si>
  <si>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</si>
  <si>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</si>
  <si>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</si>
  <si>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</si>
  <si>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</si>
  <si>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</si>
  <si>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</si>
  <si>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</si>
  <si>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</si>
  <si>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</si>
  <si>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</si>
  <si>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</si>
  <si>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</si>
  <si>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</si>
  <si>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</si>
  <si>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</si>
  <si>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</si>
  <si>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</si>
  <si>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</si>
  <si>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</si>
  <si>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</si>
  <si>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</si>
  <si>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</si>
  <si>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</si>
  <si>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</si>
  <si>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</si>
  <si>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</si>
  <si>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</si>
  <si>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</si>
  <si>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</si>
  <si>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</si>
  <si>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</si>
  <si>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</si>
  <si>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</si>
  <si>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</si>
  <si>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</si>
  <si>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</si>
  <si>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</si>
  <si>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</si>
  <si>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</si>
  <si>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</si>
  <si>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</si>
  <si>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</si>
  <si>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</si>
  <si>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</si>
  <si>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</si>
  <si>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</si>
  <si>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</si>
  <si>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</si>
  <si>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</si>
  <si>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</si>
  <si>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</si>
  <si>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</si>
  <si>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</si>
  <si>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</si>
  <si>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</si>
  <si>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</si>
  <si>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</si>
  <si>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</si>
  <si>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</si>
  <si>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</si>
  <si>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</si>
  <si>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</si>
  <si>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</si>
  <si>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</si>
  <si>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</si>
  <si>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</si>
  <si>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</si>
  <si>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</si>
  <si>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</si>
  <si>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</si>
  <si>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</si>
  <si>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</si>
  <si>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</si>
  <si>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</si>
  <si>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</si>
  <si>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</si>
  <si>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</si>
  <si>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</si>
  <si>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</si>
  <si>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</si>
  <si>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</si>
  <si>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</si>
  <si>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</si>
  <si>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</si>
  <si>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</si>
  <si>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</si>
  <si>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</si>
  <si>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family val="2"/>
      </rPr>
      <t xml:space="preserve">done by applying the force of 13 kN </t>
    </r>
    <r>
      <rPr>
        <b/>
        <sz val="10"/>
        <color rgb="FF000000"/>
        <rFont val="Verdana"/>
        <family val="2"/>
      </rPr>
      <t>ONCE</t>
    </r>
    <r>
      <rPr>
        <sz val="10"/>
        <color rgb="FF000000"/>
        <rFont val="Verdana"/>
        <family val="2"/>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</si>
  <si>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</si>
  <si>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</si>
  <si>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</si>
  <si>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</si>
  <si>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</si>
  <si>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</si>
  <si>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</si>
  <si>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</si>
  <si>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</si>
  <si>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</si>
  <si>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</si>
  <si>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</si>
  <si>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</si>
  <si>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</si>
  <si>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</si>
  <si>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</si>
  <si>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</si>
  <si>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</si>
  <si>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</si>
  <si>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</si>
  <si>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</si>
  <si>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</si>
  <si>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</si>
  <si>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</si>
  <si>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</si>
  <si>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</si>
  <si>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</si>
  <si>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 xml:space="preserve"> ACCUMULATOR MATERIALS GUIDANCE NOTES</t>
  </si>
  <si>
    <t>Materials except metallic and continuous fiber-reinforced laminates</t>
  </si>
  <si>
    <t>Mechanical properties must be valid for ≥ 60 °C !</t>
  </si>
  <si>
    <t>In general 3 possibilites to show compliance:</t>
  </si>
  <si>
    <t>1. Values from Datasheet</t>
  </si>
  <si>
    <t>- Must explicitly show mechanical properties at or above 60 °C.</t>
  </si>
  <si>
    <t>- Glass transition temperature alone is not sufficient.</t>
  </si>
  <si>
    <t>2. Values from own tests</t>
  </si>
  <si>
    <t>- Test procedure shows mechanical properties ≥ 60 °C.</t>
  </si>
  <si>
    <t>- Must be well documented (report, pictures).</t>
  </si>
  <si>
    <t>3. Scientific justification</t>
  </si>
  <si>
    <t>- Least favourable.</t>
  </si>
  <si>
    <t>- Generous knock-down factor applied to ambient temperature values.</t>
  </si>
  <si>
    <t>- Backed up by known behavior of the explicit material, must be explained scientifically.</t>
  </si>
  <si>
    <t>TSAC, STACK AND CELL FIXATION GUIDANCE NOTES</t>
  </si>
  <si>
    <t>All mentioned parts and assembly mentioned in EV5.5.8, as well as the interface between</t>
  </si>
  <si>
    <t>must withstand the mentioned accelerations.</t>
  </si>
  <si>
    <t>This must be shown for every part/interface and every direction (x, y, z) in the respective</t>
  </si>
  <si>
    <t>SES tab.</t>
  </si>
  <si>
    <t>For a quick review and pass, use a structured approach. This will help the reviewer to</t>
  </si>
  <si>
    <t>quickly understand your design and calculations.</t>
  </si>
  <si>
    <t>Please note:</t>
  </si>
  <si>
    <t>Hand calculations always required, FEM can be supportive</t>
  </si>
  <si>
    <t xml:space="preserve">Showing some flashy and colourfull FEM images without legends, full model description or </t>
  </si>
  <si>
    <t>unreadable numbers, no information on meshing etc. result in a "FAIL" directly.</t>
  </si>
  <si>
    <t>CELL FIXATION GUIDANCE NOTES</t>
  </si>
  <si>
    <t xml:space="preserve">Pouch cells must be fixed using one or both of the large </t>
  </si>
  <si>
    <t>surface(s) only.</t>
  </si>
  <si>
    <t>Large surface means only the surface shown in the picture on the right.</t>
  </si>
  <si>
    <t>This may be done by friction or adhesive.</t>
  </si>
  <si>
    <t>The other surfaces of the cell must not carry any major load. However,</t>
  </si>
  <si>
    <t>touching other surfaces for packaging reasons is acceptable.</t>
  </si>
  <si>
    <t>Each used surface must be fixed on at least 80 %.</t>
  </si>
  <si>
    <t>80 % is the absolute minimum surface to be used. If possible, use more</t>
  </si>
  <si>
    <t>to distribute the force more evenly and improve safety.</t>
  </si>
  <si>
    <t xml:space="preserve">Tabs of pouch cells must not carry mechanical loads and must not </t>
  </si>
  <si>
    <t>press into the pouch.</t>
  </si>
  <si>
    <t xml:space="preserve">Absolutely no mechanical load is permitted on the cell tabs. Busbars, </t>
  </si>
  <si>
    <t xml:space="preserve">PCB and/or other parts that are connected with the cell tabs must have </t>
  </si>
  <si>
    <t>a separate mounting from the cell tabs.</t>
  </si>
  <si>
    <t>FRICTION-BASED CELL FIXATION GUIDANCE NOTES</t>
  </si>
  <si>
    <t>For friction based cell fixation, i.e. using a preload force to clamp the cells, testing is</t>
  </si>
  <si>
    <t>required to determine the coefficient of friction between the cells and the material</t>
  </si>
  <si>
    <t>they are attached to.</t>
  </si>
  <si>
    <t>A suggestion for a test setup is shown below.</t>
  </si>
  <si>
    <t>Cell or mockup</t>
  </si>
  <si>
    <t xml:space="preserve">For the test, you can use a an actual cell (respecting all necessary safety measures) </t>
  </si>
  <si>
    <t>or a representative cell mockup.</t>
  </si>
  <si>
    <t>If a mockup is used, it must have respresentative size (area of friction), surface condition,</t>
  </si>
  <si>
    <t>and stiffness as the actual cell. Pouch cell foil may be available at the manufacturer.</t>
  </si>
  <si>
    <t>Testing Pressure</t>
  </si>
  <si>
    <t>The coefficient of friction may be non-linear towards the application pressure. This</t>
  </si>
  <si>
    <t>must be respected in the testing and calculation.</t>
  </si>
  <si>
    <t>However, the actual pressure in the stack may be inappropriate/too high for the test.</t>
  </si>
  <si>
    <t xml:space="preserve">Conduct tests with different testing pressure values and then extrapolate in the </t>
  </si>
  <si>
    <t>calculation to your real application pressure.</t>
  </si>
  <si>
    <t>Testing procedure and documentation</t>
  </si>
  <si>
    <t>For each testing pressure, also conduct multiple tests to exclude random influences.</t>
  </si>
  <si>
    <t>Document every test result in the EV5.5 Acc Stack Construction Tab in a table.</t>
  </si>
  <si>
    <t>Show pictures of and describe your test setup. Briefly summarize your test and</t>
  </si>
  <si>
    <t>argue, which coefficient of friction was chosen.</t>
  </si>
  <si>
    <t>ACCUMULATOR CONTAINER ATTACHMENT GUIDANCE NOTES</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</si>
  <si>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</si>
  <si>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</si>
  <si>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</si>
  <si>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</si>
  <si>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</si>
  <si>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</si>
  <si>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</si>
  <si>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</si>
  <si>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</si>
  <si>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</si>
  <si>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</si>
  <si>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</si>
  <si>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</si>
  <si>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</si>
  <si>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</si>
  <si>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</si>
  <si>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</si>
  <si>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</si>
  <si>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</si>
  <si>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</si>
  <si>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</si>
  <si>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</si>
  <si>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</si>
  <si>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</si>
  <si>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</si>
  <si>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</si>
  <si>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</si>
  <si>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</si>
  <si>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</si>
  <si>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</si>
  <si>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</si>
  <si>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</si>
  <si>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</si>
  <si>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</si>
  <si>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</si>
  <si>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</si>
  <si>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</si>
  <si>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</si>
  <si>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</si>
  <si>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</si>
  <si>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</si>
  <si>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</si>
  <si>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</si>
  <si>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</si>
  <si>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</si>
  <si>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</si>
  <si>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</si>
  <si>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</si>
  <si>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</si>
  <si>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V1.1</t>
  </si>
  <si>
    <t>Second release for the 2024 rules</t>
  </si>
  <si>
    <t>- New upload of sheet, due to issue of copying TABs, locking issue solved</t>
  </si>
  <si>
    <t>- Moved T3.5 FBH TAB before T3.5 Different Layups</t>
  </si>
  <si>
    <t>- Moved T3.14 T3.5 FBH Spt Structure TAB before T3.13 T3.5 Ft Bulkhead due to order of required data input for calculation FBH (first input FBHS needed)</t>
  </si>
  <si>
    <t>25CrMo4</t>
  </si>
  <si>
    <t>All</t>
  </si>
  <si>
    <t>Ecole Centrale Lyon</t>
  </si>
  <si>
    <t>Patrick SERRAFERO</t>
  </si>
  <si>
    <t>81 FSCH</t>
  </si>
  <si>
    <t>patrick.serrafero@ec-lyon.fr</t>
  </si>
  <si>
    <t>Standard IA - Steel</t>
  </si>
  <si>
    <t>15CrMo4 and Steel</t>
  </si>
  <si>
    <t>Cylinder cells</t>
  </si>
  <si>
    <t>Amaury Blanqué</t>
  </si>
  <si>
    <t>amaury.blanque@etu.ec-lyon.fr</t>
  </si>
  <si>
    <t>Addition of five tubes to triangulate the structure.</t>
  </si>
  <si>
    <t>Changes to some tube thicknesses</t>
  </si>
  <si>
    <t>Straight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</si>
</sst>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
    <numFmt numFmtId="166" formatCode="0.000E+00"/>
    <numFmt numFmtId="167" formatCode="0.000"/>
    <numFmt numFmtId="168" formatCode="0.0000E+00"/>
  </numFmts>
  <fonts count="81">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u/>
      <sz val="10"/>
      <color theme="10"/>
      <name val="Arial"/>
      <family val="2"/>
    </font>
    <font>
      <sz val="10"/>
      <color rgb="FF000000"/>
      <name val="Verdana"/>
      <family val="2"/>
    </font>
    <font>
      <b/>
      <sz val="10"/>
      <color rgb="FF000000"/>
      <name val="Verdana"/>
      <family val="2"/>
    </font>
    <font>
      <sz val="11"/>
      <color rgb="FF000000"/>
      <name val="Calibri"/>
      <family val="2"/>
    </font>
    <font>
      <sz val="11"/>
      <name val="Calibri"/>
      <family val="2"/>
    </font>
    <font>
      <sz val="11"/>
      <color theme="0"/>
      <name val="Calibri"/>
      <family val="2"/>
      <scheme val="minor"/>
    </font>
    <font>
      <sz val="10"/>
      <color theme="0"/>
      <name val="Arial"/>
      <family val="2"/>
    </font>
    <font>
      <sz val="11"/>
      <color rgb="FFFF0000"/>
      <name val="Calibri"/>
      <family val="2"/>
      <scheme val="minor"/>
    </font>
    <font>
      <sz val="11"/>
      <color rgb="FF444444"/>
      <name val="Calibri"/>
      <family val="2"/>
      <charset val="1"/>
    </font>
    <font>
      <u val="double"/>
      <sz val="10"/>
      <name val="Verdana"/>
      <family val="2"/>
    </font>
    <font>
      <u/>
      <sz val="10"/>
      <name val="Verdana"/>
      <family val="2"/>
    </font>
    <font>
      <b/>
      <u/>
      <sz val="10"/>
      <color rgb="FFFF0000"/>
      <name val="Verdana"/>
      <family val="2"/>
    </font>
    <font>
      <b/>
      <u/>
      <sz val="10"/>
      <name val="Verdana"/>
      <family val="2"/>
    </font>
    <font>
      <sz val="9"/>
      <name val="Arial"/>
      <family val="2"/>
    </font>
    <font>
      <sz val="11"/>
      <color rgb="FF444444"/>
      <name val="Arial"/>
      <family val="2"/>
    </font>
    <font>
      <sz val="10"/>
      <color rgb="FF595959"/>
      <name val="Arial"/>
      <family val="2"/>
    </font>
    <font>
      <b/>
      <sz val="10"/>
      <color theme="1" tint="0.34998626667073579"/>
      <name val="Arial"/>
      <family val="2"/>
    </font>
    <font>
      <sz val="10"/>
      <color rgb="FF000000"/>
      <name val="Arial"/>
      <family val="2"/>
    </font>
    <font>
      <sz val="11"/>
      <name val="Calibri"/>
      <family val="2"/>
      <scheme val="minor"/>
    </font>
    <font>
      <b/>
      <sz val="11"/>
      <color rgb="FF444444"/>
      <name val="Aptos Narrow"/>
      <family val="2"/>
    </font>
    <font>
      <b/>
      <sz val="10"/>
      <name val="Arial"/>
      <family val="2"/>
    </font>
    <font>
      <sz val="9"/>
      <name val="Arial"/>
      <family val="2"/>
    </font>
    <font>
      <b/>
      <sz val="10"/>
      <name val="Verdana"/>
      <family val="2"/>
    </font>
    <font>
      <sz val="10"/>
      <name val="Verdana"/>
      <family val="2"/>
    </font>
    <font>
      <sz val="10"/>
      <color rgb="FF000000"/>
      <name val="Verdana"/>
      <family val="2"/>
    </font>
    <font>
      <u/>
      <sz val="10"/>
      <color indexed="12"/>
      <name val="Verdana"/>
      <family val="2"/>
    </font>
    <font>
      <sz val="14"/>
      <color rgb="FFFF0000"/>
      <name val="Verdana"/>
      <family val="2"/>
    </font>
    <font>
      <sz val="10"/>
      <color rgb="FFFF0000"/>
      <name val="Verdana"/>
      <family val="2"/>
    </font>
    <font>
      <sz val="26"/>
      <name val="Verdana"/>
      <family val="2"/>
    </font>
    <font>
      <u/>
      <sz val="10"/>
      <color theme="10"/>
      <name val="Arial"/>
      <family val="2"/>
    </font>
    <font>
      <u/>
      <sz val="10"/>
      <color indexed="12"/>
      <name val="Verdana"/>
      <family val="2"/>
    </font>
    <font>
      <sz val="26"/>
      <name val="Verdana"/>
      <family val="2"/>
    </font>
    <font>
      <u/>
      <sz val="10"/>
      <color theme="10"/>
      <name val="Verdana"/>
      <family val="2"/>
    </font>
    <font>
      <sz val="10"/>
      <color rgb="FF000000"/>
      <name val="Arial"/>
      <family val="2"/>
    </font>
    <font>
      <b/>
      <sz val="10"/>
      <color rgb="FF000000"/>
      <name val="Arial"/>
      <family val="2"/>
    </font>
    <font>
      <sz val="9"/>
      <color indexed="81"/>
      <name val="Tahoma"/>
      <charset val="1"/>
    </font>
    <font>
      <b/>
      <sz val="9"/>
      <color indexed="81"/>
      <name val="Tahoma"/>
      <charset val="1"/>
    </font>
    <font>
      <u/>
      <sz val="10"/>
      <color theme="10"/>
      <name val="Arial"/>
    </font>
  </fonts>
  <fills count="31">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indexed="64"/>
      </patternFill>
    </fill>
    <fill>
      <patternFill patternType="solid">
        <fgColor rgb="FFFFFF00"/>
        <bgColor rgb="FF000000"/>
      </patternFill>
    </fill>
    <fill>
      <patternFill patternType="solid">
        <fgColor rgb="FF00B0F0"/>
        <bgColor indexed="64"/>
      </patternFill>
    </fill>
    <fill>
      <patternFill patternType="solid">
        <fgColor theme="7" tint="0.39997558519241921"/>
        <bgColor indexed="64"/>
      </patternFill>
    </fill>
    <fill>
      <patternFill patternType="solid">
        <fgColor rgb="FFC0C0C0"/>
        <bgColor indexed="64"/>
      </patternFill>
    </fill>
    <fill>
      <patternFill patternType="solid">
        <fgColor theme="0" tint="-0.249977111117893"/>
        <bgColor indexed="64"/>
      </patternFill>
    </fill>
    <fill>
      <patternFill patternType="solid">
        <fgColor theme="0"/>
        <bgColor rgb="FF000000"/>
      </patternFill>
    </fill>
    <fill>
      <patternFill patternType="solid">
        <fgColor theme="0" tint="-0.14999847407452621"/>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indexed="64"/>
      </left>
      <right/>
      <top style="thin">
        <color rgb="FF000000"/>
      </top>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medium">
        <color rgb="FF000000"/>
      </left>
      <right/>
      <top/>
      <bottom/>
      <diagonal/>
    </border>
    <border>
      <left style="thin">
        <color rgb="FF000000"/>
      </left>
      <right style="medium">
        <color rgb="FF000000"/>
      </right>
      <top/>
      <bottom/>
      <diagonal/>
    </border>
    <border>
      <left style="thin">
        <color rgb="FF000000"/>
      </left>
      <right style="thin">
        <color rgb="FF000000"/>
      </right>
      <top style="medium">
        <color rgb="FF000000"/>
      </top>
      <bottom/>
      <diagonal/>
    </border>
    <border>
      <left style="thin">
        <color rgb="FF000000"/>
      </left>
      <right style="thin">
        <color rgb="FF000000"/>
      </right>
      <top/>
      <bottom style="medium">
        <color rgb="FF000000"/>
      </bottom>
      <diagonal/>
    </border>
  </borders>
  <cellStyleXfs count="14">
    <xf numFmtId="0" fontId="0" fillId="0" borderId="0"/>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xf numFmtId="0" fontId="72" fillId="0" borderId="0" applyNumberFormat="0" applyFill="0" applyBorder="0" applyAlignment="0" applyProtection="0"/>
    <xf numFmtId="0" fontId="80" fillId="0" borderId="0" applyNumberFormat="0" applyFill="0" applyBorder="0" applyAlignment="0" applyProtection="0"/>
  </cellStyleXfs>
  <cellXfs count="1556">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3" applyFont="1"/>
    <xf numFmtId="0" fontId="4" fillId="0" borderId="0" xfId="3"/>
    <xf numFmtId="0" fontId="3" fillId="0" borderId="1" xfId="3" applyFont="1" applyBorder="1"/>
    <xf numFmtId="0" fontId="3" fillId="0" borderId="0" xfId="3" applyFont="1"/>
    <xf numFmtId="0" fontId="3" fillId="0" borderId="10" xfId="3" applyFont="1" applyBorder="1"/>
    <xf numFmtId="0" fontId="4" fillId="0" borderId="13" xfId="3" applyBorder="1"/>
    <xf numFmtId="0" fontId="4" fillId="0" borderId="1" xfId="3" applyBorder="1"/>
    <xf numFmtId="11" fontId="4" fillId="0" borderId="0" xfId="3" applyNumberFormat="1"/>
    <xf numFmtId="2" fontId="4" fillId="0" borderId="0" xfId="3"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2" fontId="0" fillId="4" borderId="1" xfId="0" applyNumberFormat="1" applyFill="1" applyBorder="1"/>
    <xf numFmtId="11" fontId="0" fillId="6" borderId="1" xfId="0" applyNumberFormat="1" applyFill="1" applyBorder="1"/>
    <xf numFmtId="0" fontId="6" fillId="0" borderId="0" xfId="12" applyFont="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2" applyFont="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3" applyFill="1" applyBorder="1" applyAlignment="1" applyProtection="1">
      <alignment wrapText="1"/>
      <protection locked="0"/>
    </xf>
    <xf numFmtId="0" fontId="4" fillId="3" borderId="0" xfId="3" applyFill="1" applyAlignment="1" applyProtection="1">
      <alignment wrapText="1"/>
      <protection locked="0"/>
    </xf>
    <xf numFmtId="0" fontId="4" fillId="3" borderId="4" xfId="3" applyFill="1" applyBorder="1" applyAlignment="1" applyProtection="1">
      <alignment wrapText="1"/>
      <protection locked="0"/>
    </xf>
    <xf numFmtId="0" fontId="4" fillId="3" borderId="0" xfId="3" applyFill="1" applyProtection="1">
      <protection locked="0"/>
    </xf>
    <xf numFmtId="0" fontId="10" fillId="3" borderId="0" xfId="3" applyFont="1" applyFill="1" applyProtection="1">
      <protection locked="0"/>
    </xf>
    <xf numFmtId="0" fontId="4" fillId="3" borderId="7" xfId="3" applyFill="1" applyBorder="1" applyAlignment="1" applyProtection="1">
      <alignment wrapText="1"/>
      <protection locked="0"/>
    </xf>
    <xf numFmtId="0" fontId="4" fillId="3" borderId="8" xfId="3" applyFill="1" applyBorder="1" applyAlignment="1" applyProtection="1">
      <alignment wrapText="1"/>
      <protection locked="0"/>
    </xf>
    <xf numFmtId="0" fontId="4" fillId="3" borderId="8" xfId="3" applyFill="1" applyBorder="1" applyProtection="1">
      <protection locked="0"/>
    </xf>
    <xf numFmtId="0" fontId="4" fillId="3" borderId="9" xfId="3" applyFill="1" applyBorder="1" applyAlignment="1" applyProtection="1">
      <alignment wrapText="1"/>
      <protection locked="0"/>
    </xf>
    <xf numFmtId="0" fontId="4" fillId="0" borderId="0" xfId="3" applyAlignment="1">
      <alignment wrapText="1"/>
    </xf>
    <xf numFmtId="0" fontId="4" fillId="0" borderId="4" xfId="3" applyBorder="1" applyAlignment="1">
      <alignment wrapText="1"/>
    </xf>
    <xf numFmtId="0" fontId="4" fillId="0" borderId="3" xfId="3" applyBorder="1" applyAlignment="1">
      <alignment wrapText="1"/>
    </xf>
    <xf numFmtId="0" fontId="4" fillId="3" borderId="3" xfId="3" applyFill="1" applyBorder="1" applyProtection="1">
      <protection locked="0"/>
    </xf>
    <xf numFmtId="0" fontId="4" fillId="3" borderId="7" xfId="3" applyFill="1" applyBorder="1" applyProtection="1">
      <protection locked="0"/>
    </xf>
    <xf numFmtId="0" fontId="10" fillId="0" borderId="3" xfId="3" applyFont="1" applyBorder="1"/>
    <xf numFmtId="0" fontId="10" fillId="0" borderId="0" xfId="3" applyFont="1" applyAlignment="1">
      <alignment wrapText="1"/>
    </xf>
    <xf numFmtId="0" fontId="10" fillId="0" borderId="4" xfId="3" applyFont="1" applyBorder="1" applyAlignment="1">
      <alignment wrapText="1"/>
    </xf>
    <xf numFmtId="0" fontId="10" fillId="0" borderId="0" xfId="3" applyFont="1"/>
    <xf numFmtId="0" fontId="10" fillId="0" borderId="3" xfId="3" applyFont="1" applyBorder="1" applyAlignment="1">
      <alignment wrapText="1"/>
    </xf>
    <xf numFmtId="0" fontId="10" fillId="0" borderId="3" xfId="3" applyFont="1" applyBorder="1" applyAlignment="1">
      <alignment horizontal="left"/>
    </xf>
    <xf numFmtId="0" fontId="10" fillId="0" borderId="0" xfId="3" applyFont="1" applyAlignment="1">
      <alignment horizontal="right"/>
    </xf>
    <xf numFmtId="0" fontId="10" fillId="0" borderId="3" xfId="3" applyFont="1" applyBorder="1" applyAlignment="1">
      <alignment horizontal="right"/>
    </xf>
    <xf numFmtId="0" fontId="10" fillId="0" borderId="0" xfId="3" applyFont="1" applyAlignment="1">
      <alignment horizontal="center"/>
    </xf>
    <xf numFmtId="0" fontId="10" fillId="0" borderId="2" xfId="3" applyFont="1" applyBorder="1" applyAlignment="1">
      <alignment horizontal="center"/>
    </xf>
    <xf numFmtId="0" fontId="10" fillId="0" borderId="7" xfId="3" applyFont="1" applyBorder="1" applyAlignment="1">
      <alignment wrapText="1"/>
    </xf>
    <xf numFmtId="0" fontId="10" fillId="0" borderId="8" xfId="3" applyFont="1" applyBorder="1" applyAlignment="1">
      <alignment wrapText="1"/>
    </xf>
    <xf numFmtId="0" fontId="10" fillId="0" borderId="9" xfId="3"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2" applyFont="1" applyFill="1" applyBorder="1" applyAlignment="1" applyProtection="1">
      <protection locked="0"/>
    </xf>
    <xf numFmtId="0" fontId="6" fillId="0" borderId="0" xfId="12" quotePrefix="1" applyFont="1" applyAlignment="1" applyProtection="1"/>
    <xf numFmtId="0" fontId="0" fillId="8" borderId="0" xfId="0" applyFill="1"/>
    <xf numFmtId="0" fontId="0" fillId="8" borderId="0" xfId="0" applyFill="1" applyProtection="1">
      <protection locked="0"/>
    </xf>
    <xf numFmtId="0" fontId="6" fillId="0" borderId="0" xfId="12" applyFont="1" applyFill="1" applyAlignment="1" applyProtection="1">
      <protection locked="0"/>
    </xf>
    <xf numFmtId="0" fontId="26" fillId="0" borderId="7" xfId="0" applyFont="1" applyBorder="1"/>
    <xf numFmtId="0" fontId="6" fillId="0" borderId="0" xfId="12" applyFont="1" applyFill="1" applyBorder="1" applyAlignment="1" applyProtection="1">
      <alignment vertical="top"/>
    </xf>
    <xf numFmtId="0" fontId="6" fillId="8" borderId="0" xfId="12" applyFont="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0" fillId="3" borderId="2" xfId="0" applyFill="1" applyBorder="1"/>
    <xf numFmtId="0" fontId="0" fillId="3" borderId="6" xfId="0" applyFill="1" applyBorder="1"/>
    <xf numFmtId="0" fontId="6" fillId="3" borderId="3" xfId="12" applyFont="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2" applyFont="1" applyFill="1" applyBorder="1" applyAlignment="1" applyProtection="1">
      <alignment vertical="top" wrapText="1"/>
    </xf>
    <xf numFmtId="14" fontId="0" fillId="3" borderId="13" xfId="0" applyNumberFormat="1" applyFill="1" applyBorder="1" applyProtection="1">
      <protection locked="0"/>
    </xf>
    <xf numFmtId="0" fontId="3" fillId="0" borderId="15" xfId="0" applyFont="1" applyBorder="1"/>
    <xf numFmtId="0" fontId="6" fillId="4" borderId="1" xfId="12" applyFont="1" applyFill="1" applyBorder="1" applyAlignment="1" applyProtection="1"/>
    <xf numFmtId="0" fontId="6" fillId="3" borderId="1" xfId="12" applyFont="1" applyFill="1" applyBorder="1" applyAlignment="1" applyProtection="1">
      <alignment horizontal="center"/>
    </xf>
    <xf numFmtId="0" fontId="4" fillId="0" borderId="0" xfId="7"/>
    <xf numFmtId="0" fontId="4" fillId="0" borderId="0" xfId="7" applyProtection="1">
      <protection locked="0"/>
    </xf>
    <xf numFmtId="0" fontId="4" fillId="8" borderId="0" xfId="7" applyFill="1" applyProtection="1">
      <protection locked="0"/>
    </xf>
    <xf numFmtId="0" fontId="4" fillId="3" borderId="9" xfId="7" applyFill="1" applyBorder="1" applyProtection="1">
      <protection locked="0"/>
    </xf>
    <xf numFmtId="0" fontId="4" fillId="3" borderId="8" xfId="7" applyFill="1" applyBorder="1" applyProtection="1">
      <protection locked="0"/>
    </xf>
    <xf numFmtId="0" fontId="4" fillId="3" borderId="7" xfId="7" applyFill="1" applyBorder="1" applyProtection="1">
      <protection locked="0"/>
    </xf>
    <xf numFmtId="0" fontId="4" fillId="3" borderId="4" xfId="7" applyFill="1" applyBorder="1" applyProtection="1">
      <protection locked="0"/>
    </xf>
    <xf numFmtId="0" fontId="4" fillId="3" borderId="0" xfId="7" applyFill="1" applyProtection="1">
      <protection locked="0"/>
    </xf>
    <xf numFmtId="0" fontId="4" fillId="3" borderId="3" xfId="7" applyFill="1" applyBorder="1" applyProtection="1">
      <protection locked="0"/>
    </xf>
    <xf numFmtId="0" fontId="4" fillId="3" borderId="6" xfId="7" applyFill="1" applyBorder="1" applyProtection="1">
      <protection locked="0"/>
    </xf>
    <xf numFmtId="0" fontId="4" fillId="3" borderId="2" xfId="7" applyFill="1" applyBorder="1" applyProtection="1">
      <protection locked="0"/>
    </xf>
    <xf numFmtId="0" fontId="4" fillId="3" borderId="5" xfId="7" applyFill="1" applyBorder="1" applyProtection="1">
      <protection locked="0"/>
    </xf>
    <xf numFmtId="0" fontId="4" fillId="8" borderId="0" xfId="7" applyFill="1"/>
    <xf numFmtId="0" fontId="4" fillId="0" borderId="11" xfId="7" applyBorder="1"/>
    <xf numFmtId="0" fontId="3" fillId="0" borderId="15" xfId="7" applyFont="1" applyBorder="1" applyAlignment="1">
      <alignment vertical="center" wrapText="1"/>
    </xf>
    <xf numFmtId="0" fontId="3" fillId="0" borderId="13" xfId="7" applyFont="1" applyBorder="1" applyAlignment="1">
      <alignment vertical="center" wrapText="1"/>
    </xf>
    <xf numFmtId="11" fontId="4" fillId="0" borderId="13" xfId="7" applyNumberFormat="1" applyBorder="1"/>
    <xf numFmtId="0" fontId="2" fillId="0" borderId="13" xfId="7" applyFont="1" applyBorder="1" applyAlignment="1">
      <alignment horizontal="center" vertical="center" wrapText="1"/>
    </xf>
    <xf numFmtId="0" fontId="28" fillId="0" borderId="13" xfId="7" applyFont="1" applyBorder="1" applyAlignment="1">
      <alignment horizontal="center" vertical="center" wrapText="1"/>
    </xf>
    <xf numFmtId="0" fontId="28" fillId="0" borderId="14" xfId="7" applyFont="1" applyBorder="1" applyAlignment="1">
      <alignment vertical="center" wrapText="1"/>
    </xf>
    <xf numFmtId="11" fontId="4" fillId="0" borderId="4" xfId="7" applyNumberFormat="1" applyBorder="1"/>
    <xf numFmtId="11" fontId="3" fillId="0" borderId="15" xfId="7" applyNumberFormat="1" applyFont="1" applyBorder="1"/>
    <xf numFmtId="0" fontId="3" fillId="0" borderId="3" xfId="7" applyFont="1" applyBorder="1"/>
    <xf numFmtId="0" fontId="4" fillId="0" borderId="3" xfId="7" applyBorder="1"/>
    <xf numFmtId="11" fontId="4" fillId="8" borderId="12" xfId="7" applyNumberFormat="1" applyFill="1" applyBorder="1" applyAlignment="1">
      <alignment horizontal="center"/>
    </xf>
    <xf numFmtId="1" fontId="4" fillId="8" borderId="10" xfId="7" applyNumberFormat="1" applyFill="1" applyBorder="1"/>
    <xf numFmtId="0" fontId="4" fillId="8" borderId="10" xfId="7" applyFill="1" applyBorder="1"/>
    <xf numFmtId="11" fontId="3" fillId="0" borderId="0" xfId="7" applyNumberFormat="1" applyFont="1"/>
    <xf numFmtId="11" fontId="3" fillId="0" borderId="1" xfId="7" applyNumberFormat="1" applyFont="1" applyBorder="1" applyAlignment="1">
      <alignment horizontal="center" vertical="center"/>
    </xf>
    <xf numFmtId="0" fontId="2" fillId="0" borderId="0" xfId="0" applyFont="1" applyAlignment="1">
      <alignment horizontal="right"/>
    </xf>
    <xf numFmtId="164" fontId="4" fillId="3" borderId="11" xfId="7" applyNumberFormat="1" applyFill="1" applyBorder="1" applyProtection="1">
      <protection locked="0"/>
    </xf>
    <xf numFmtId="0" fontId="10" fillId="0" borderId="3" xfId="0" applyFont="1" applyBorder="1" applyProtection="1">
      <protection locked="0"/>
    </xf>
    <xf numFmtId="0" fontId="10" fillId="0" borderId="3" xfId="3" applyFont="1" applyBorder="1" applyProtection="1">
      <protection locked="0"/>
    </xf>
    <xf numFmtId="0" fontId="6" fillId="3" borderId="1" xfId="12" applyFont="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2" applyFont="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3" applyFont="1" applyFill="1" applyBorder="1" applyAlignment="1">
      <alignment vertical="top"/>
    </xf>
    <xf numFmtId="0" fontId="10" fillId="19" borderId="2" xfId="3" applyFont="1" applyFill="1" applyBorder="1" applyAlignment="1">
      <alignment vertical="top"/>
    </xf>
    <xf numFmtId="0" fontId="10" fillId="19" borderId="3" xfId="3" applyFont="1" applyFill="1" applyBorder="1" applyAlignment="1">
      <alignment vertical="top"/>
    </xf>
    <xf numFmtId="0" fontId="10" fillId="19" borderId="0" xfId="3" applyFont="1" applyFill="1" applyAlignment="1">
      <alignment vertical="top"/>
    </xf>
    <xf numFmtId="0" fontId="10" fillId="19" borderId="0" xfId="3" applyFont="1" applyFill="1"/>
    <xf numFmtId="0" fontId="10" fillId="19" borderId="0" xfId="3" quotePrefix="1" applyFont="1" applyFill="1" applyAlignment="1">
      <alignment vertical="top"/>
    </xf>
    <xf numFmtId="0" fontId="10" fillId="19" borderId="0" xfId="3" quotePrefix="1" applyFont="1" applyFill="1"/>
    <xf numFmtId="0" fontId="26" fillId="19" borderId="0" xfId="3" applyFont="1" applyFill="1" applyAlignment="1">
      <alignment vertical="top"/>
    </xf>
    <xf numFmtId="0" fontId="6" fillId="19" borderId="0" xfId="12" applyFont="1" applyFill="1" applyBorder="1" applyAlignment="1" applyProtection="1">
      <alignment vertical="top"/>
    </xf>
    <xf numFmtId="0" fontId="6" fillId="19" borderId="0" xfId="12" applyFont="1" applyFill="1" applyBorder="1" applyAlignment="1" applyProtection="1"/>
    <xf numFmtId="0" fontId="10" fillId="19" borderId="7" xfId="3" applyFont="1" applyFill="1" applyBorder="1" applyAlignment="1">
      <alignment vertical="top"/>
    </xf>
    <xf numFmtId="0" fontId="10" fillId="19" borderId="8" xfId="3" applyFont="1" applyFill="1" applyBorder="1" applyAlignment="1">
      <alignment vertical="top"/>
    </xf>
    <xf numFmtId="0" fontId="6" fillId="20" borderId="3" xfId="12" applyFont="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3" applyFont="1" applyFill="1"/>
    <xf numFmtId="0" fontId="4" fillId="20" borderId="0" xfId="3" applyFill="1"/>
    <xf numFmtId="0" fontId="4" fillId="20" borderId="4" xfId="3" applyFill="1" applyBorder="1" applyProtection="1">
      <protection locked="0"/>
    </xf>
    <xf numFmtId="0" fontId="4" fillId="20" borderId="0" xfId="3" applyFill="1" applyProtection="1">
      <protection locked="0"/>
    </xf>
    <xf numFmtId="0" fontId="35" fillId="20" borderId="0" xfId="3" applyFont="1" applyFill="1" applyProtection="1">
      <protection locked="0"/>
    </xf>
    <xf numFmtId="0" fontId="4" fillId="20" borderId="0" xfId="3" applyFill="1" applyAlignment="1">
      <alignment vertical="top" wrapText="1"/>
    </xf>
    <xf numFmtId="0" fontId="35" fillId="20" borderId="0" xfId="3" applyFont="1" applyFill="1"/>
    <xf numFmtId="0" fontId="35" fillId="20" borderId="0" xfId="3" quotePrefix="1" applyFont="1" applyFill="1"/>
    <xf numFmtId="0" fontId="4" fillId="3" borderId="0" xfId="3" applyFill="1" applyAlignment="1" applyProtection="1">
      <alignment vertical="top"/>
      <protection locked="0"/>
    </xf>
    <xf numFmtId="0" fontId="4" fillId="3" borderId="3" xfId="3" applyFill="1" applyBorder="1" applyAlignment="1" applyProtection="1">
      <alignment vertical="top"/>
      <protection locked="0"/>
    </xf>
    <xf numFmtId="0" fontId="4" fillId="20" borderId="3" xfId="3" applyFill="1" applyBorder="1" applyAlignment="1" applyProtection="1">
      <alignment vertical="top"/>
      <protection locked="0"/>
    </xf>
    <xf numFmtId="0" fontId="4" fillId="20" borderId="0" xfId="3"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4" fillId="4" borderId="1" xfId="3" applyFill="1" applyBorder="1"/>
    <xf numFmtId="0" fontId="4" fillId="3" borderId="1" xfId="3" applyFill="1" applyBorder="1" applyProtection="1">
      <protection locked="0"/>
    </xf>
    <xf numFmtId="0" fontId="4" fillId="3" borderId="10" xfId="3" applyFill="1" applyBorder="1" applyProtection="1">
      <protection locked="0"/>
    </xf>
    <xf numFmtId="0" fontId="6" fillId="20" borderId="5" xfId="12" applyFont="1" applyFill="1" applyBorder="1" applyAlignment="1" applyProtection="1">
      <alignment vertical="top"/>
    </xf>
    <xf numFmtId="0" fontId="6" fillId="20" borderId="2" xfId="12" applyFont="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23" fillId="3" borderId="0" xfId="0" applyFont="1" applyFill="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2" applyFont="1" applyAlignment="1" applyProtection="1">
      <alignment horizontal="left"/>
    </xf>
    <xf numFmtId="11" fontId="0" fillId="0" borderId="12" xfId="0" applyNumberFormat="1" applyBorder="1" applyAlignment="1">
      <alignment horizontal="center"/>
    </xf>
    <xf numFmtId="11" fontId="4" fillId="0" borderId="14" xfId="7"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7" applyFont="1"/>
    <xf numFmtId="11" fontId="3" fillId="8" borderId="0" xfId="7" applyNumberFormat="1" applyFont="1" applyFill="1" applyAlignment="1">
      <alignment horizontal="center"/>
    </xf>
    <xf numFmtId="11" fontId="4" fillId="8" borderId="0" xfId="7" applyNumberFormat="1" applyFill="1"/>
    <xf numFmtId="164" fontId="4" fillId="8" borderId="0" xfId="7" applyNumberFormat="1" applyFill="1"/>
    <xf numFmtId="11" fontId="4" fillId="8" borderId="0" xfId="7" applyNumberFormat="1" applyFill="1" applyAlignment="1">
      <alignment horizontal="center"/>
    </xf>
    <xf numFmtId="1" fontId="4" fillId="8" borderId="0" xfId="7" applyNumberFormat="1" applyFill="1"/>
    <xf numFmtId="0" fontId="28" fillId="0" borderId="13" xfId="7" applyFont="1" applyBorder="1" applyAlignment="1">
      <alignment vertical="center" wrapText="1"/>
    </xf>
    <xf numFmtId="0" fontId="4" fillId="8" borderId="0" xfId="7" applyFill="1" applyAlignment="1">
      <alignment horizontal="center"/>
    </xf>
    <xf numFmtId="0" fontId="28" fillId="0" borderId="15" xfId="7" applyFont="1" applyBorder="1" applyAlignment="1">
      <alignment vertical="center" wrapText="1"/>
    </xf>
    <xf numFmtId="0" fontId="3" fillId="8" borderId="11" xfId="7" applyFont="1" applyFill="1" applyBorder="1" applyAlignment="1">
      <alignment horizontal="center" vertical="center"/>
    </xf>
    <xf numFmtId="0" fontId="4" fillId="8" borderId="14" xfId="7" applyFill="1" applyBorder="1"/>
    <xf numFmtId="0" fontId="3" fillId="8" borderId="0" xfId="7" applyFont="1" applyFill="1"/>
    <xf numFmtId="0" fontId="0" fillId="19" borderId="3" xfId="0" applyFill="1" applyBorder="1"/>
    <xf numFmtId="0" fontId="1" fillId="0" borderId="0" xfId="3" applyFont="1" applyAlignment="1">
      <alignment vertical="top"/>
    </xf>
    <xf numFmtId="0" fontId="4" fillId="0" borderId="0" xfId="3" applyAlignment="1">
      <alignment vertical="top"/>
    </xf>
    <xf numFmtId="0" fontId="4" fillId="0" borderId="3" xfId="3" applyBorder="1" applyAlignment="1">
      <alignment vertical="top"/>
    </xf>
    <xf numFmtId="0" fontId="4" fillId="0" borderId="0" xfId="3" applyAlignment="1">
      <alignment vertical="top" wrapText="1"/>
    </xf>
    <xf numFmtId="0" fontId="4" fillId="0" borderId="3" xfId="3" applyBorder="1"/>
    <xf numFmtId="0" fontId="4" fillId="0" borderId="0" xfId="3" applyAlignment="1">
      <alignment horizontal="center"/>
    </xf>
    <xf numFmtId="0" fontId="4" fillId="0" borderId="4" xfId="3" applyBorder="1" applyAlignment="1">
      <alignment vertical="top"/>
    </xf>
    <xf numFmtId="0" fontId="6" fillId="8" borderId="0" xfId="12" applyFont="1" applyFill="1" applyBorder="1" applyAlignment="1" applyProtection="1"/>
    <xf numFmtId="0" fontId="4" fillId="0" borderId="7" xfId="3" applyBorder="1" applyAlignment="1">
      <alignment vertical="top"/>
    </xf>
    <xf numFmtId="0" fontId="4" fillId="0" borderId="8" xfId="3" applyBorder="1" applyAlignment="1">
      <alignment vertical="top"/>
    </xf>
    <xf numFmtId="0" fontId="4" fillId="0" borderId="2" xfId="3"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10" fillId="0" borderId="0" xfId="9" applyFont="1" applyAlignment="1">
      <alignment vertical="top"/>
    </xf>
    <xf numFmtId="0" fontId="10" fillId="0" borderId="0" xfId="9" quotePrefix="1" applyFont="1" applyAlignment="1">
      <alignment vertical="top"/>
    </xf>
    <xf numFmtId="0" fontId="10" fillId="0" borderId="0" xfId="9" quotePrefix="1" applyFont="1"/>
    <xf numFmtId="0" fontId="10" fillId="0" borderId="0" xfId="9" applyFont="1"/>
    <xf numFmtId="0" fontId="37" fillId="0" borderId="0" xfId="9" applyFont="1"/>
    <xf numFmtId="0" fontId="7" fillId="0" borderId="0" xfId="11" applyFont="1"/>
    <xf numFmtId="0" fontId="1" fillId="0" borderId="0" xfId="11"/>
    <xf numFmtId="0" fontId="3" fillId="0" borderId="1" xfId="11" applyFont="1" applyBorder="1"/>
    <xf numFmtId="0" fontId="3" fillId="0" borderId="0" xfId="11" applyFont="1"/>
    <xf numFmtId="0" fontId="3" fillId="0" borderId="10" xfId="11" applyFont="1" applyBorder="1"/>
    <xf numFmtId="0" fontId="3" fillId="0" borderId="0" xfId="11" applyFont="1" applyAlignment="1">
      <alignment vertical="center"/>
    </xf>
    <xf numFmtId="0" fontId="3" fillId="0" borderId="0" xfId="11" applyFont="1" applyAlignment="1">
      <alignment horizontal="center"/>
    </xf>
    <xf numFmtId="0" fontId="1" fillId="0" borderId="1" xfId="11" applyBorder="1" applyAlignment="1">
      <alignment vertical="center"/>
    </xf>
    <xf numFmtId="0" fontId="1" fillId="4" borderId="1" xfId="11" applyFill="1" applyBorder="1" applyAlignment="1">
      <alignment vertical="center"/>
    </xf>
    <xf numFmtId="0" fontId="1" fillId="0" borderId="0" xfId="11" applyAlignment="1">
      <alignment vertical="center"/>
    </xf>
    <xf numFmtId="0" fontId="1" fillId="3" borderId="1" xfId="11" applyFill="1" applyBorder="1" applyAlignment="1" applyProtection="1">
      <alignment vertical="center"/>
      <protection locked="0"/>
    </xf>
    <xf numFmtId="0" fontId="1" fillId="3" borderId="10" xfId="11" applyFill="1" applyBorder="1" applyAlignment="1" applyProtection="1">
      <alignment vertical="center"/>
      <protection locked="0"/>
    </xf>
    <xf numFmtId="0" fontId="1" fillId="0" borderId="13" xfId="11" applyBorder="1" applyAlignment="1">
      <alignment vertical="center"/>
    </xf>
    <xf numFmtId="0" fontId="1" fillId="5" borderId="5" xfId="11" applyFill="1" applyBorder="1" applyAlignment="1">
      <alignment vertical="center"/>
    </xf>
    <xf numFmtId="0" fontId="1" fillId="5" borderId="2" xfId="11" applyFill="1" applyBorder="1" applyAlignment="1">
      <alignment vertical="center"/>
    </xf>
    <xf numFmtId="0" fontId="1" fillId="5" borderId="6" xfId="11" applyFill="1" applyBorder="1" applyAlignment="1">
      <alignment vertical="center"/>
    </xf>
    <xf numFmtId="0" fontId="1" fillId="0" borderId="0" xfId="11" applyAlignment="1">
      <alignment horizontal="right" vertical="center"/>
    </xf>
    <xf numFmtId="0" fontId="1" fillId="0" borderId="0" xfId="11" applyAlignment="1">
      <alignment horizontal="left" vertical="center"/>
    </xf>
    <xf numFmtId="0" fontId="1" fillId="0" borderId="14" xfId="11" applyBorder="1" applyAlignment="1">
      <alignment vertical="center"/>
    </xf>
    <xf numFmtId="0" fontId="1" fillId="0" borderId="5" xfId="11" applyBorder="1" applyAlignment="1">
      <alignment vertical="center"/>
    </xf>
    <xf numFmtId="0" fontId="1" fillId="0" borderId="11" xfId="11" applyBorder="1" applyAlignment="1">
      <alignment vertical="center"/>
    </xf>
    <xf numFmtId="0" fontId="1" fillId="0" borderId="10" xfId="11" applyBorder="1" applyAlignment="1">
      <alignment horizontal="center" vertical="center"/>
    </xf>
    <xf numFmtId="0" fontId="1" fillId="0" borderId="12" xfId="11" applyBorder="1" applyAlignment="1">
      <alignment vertical="center"/>
    </xf>
    <xf numFmtId="0" fontId="1" fillId="4" borderId="11" xfId="11" applyFill="1" applyBorder="1" applyAlignment="1">
      <alignment horizontal="right" vertical="center"/>
    </xf>
    <xf numFmtId="0" fontId="1" fillId="5" borderId="3" xfId="11" applyFill="1" applyBorder="1" applyAlignment="1">
      <alignment vertical="center"/>
    </xf>
    <xf numFmtId="0" fontId="1" fillId="5" borderId="4" xfId="11" applyFill="1" applyBorder="1" applyAlignment="1">
      <alignment vertical="center"/>
    </xf>
    <xf numFmtId="0" fontId="1" fillId="0" borderId="3" xfId="11" applyBorder="1" applyAlignment="1">
      <alignment vertical="center"/>
    </xf>
    <xf numFmtId="0" fontId="1" fillId="0" borderId="2" xfId="11" applyBorder="1" applyAlignment="1">
      <alignment vertical="center"/>
    </xf>
    <xf numFmtId="0" fontId="1" fillId="0" borderId="6" xfId="11" applyBorder="1" applyAlignment="1">
      <alignment vertical="center"/>
    </xf>
    <xf numFmtId="11" fontId="1" fillId="4" borderId="1" xfId="11" applyNumberFormat="1" applyFill="1" applyBorder="1" applyAlignment="1">
      <alignment vertical="center"/>
    </xf>
    <xf numFmtId="11" fontId="1" fillId="0" borderId="0" xfId="11" applyNumberFormat="1" applyAlignment="1">
      <alignment vertical="center"/>
    </xf>
    <xf numFmtId="11" fontId="1" fillId="0" borderId="13" xfId="11" applyNumberFormat="1" applyBorder="1" applyAlignment="1">
      <alignment vertical="center"/>
    </xf>
    <xf numFmtId="0" fontId="1" fillId="0" borderId="4" xfId="11" applyBorder="1" applyAlignment="1">
      <alignment vertical="center"/>
    </xf>
    <xf numFmtId="0" fontId="1" fillId="0" borderId="1" xfId="11" applyBorder="1"/>
    <xf numFmtId="11" fontId="1" fillId="4" borderId="1" xfId="11" applyNumberFormat="1" applyFill="1" applyBorder="1"/>
    <xf numFmtId="11" fontId="1" fillId="0" borderId="0" xfId="11" applyNumberFormat="1"/>
    <xf numFmtId="11" fontId="1" fillId="0" borderId="13" xfId="11" applyNumberFormat="1" applyBorder="1"/>
    <xf numFmtId="0" fontId="1" fillId="5" borderId="3" xfId="11" applyFill="1" applyBorder="1"/>
    <xf numFmtId="0" fontId="1" fillId="0" borderId="3" xfId="11" applyBorder="1"/>
    <xf numFmtId="0" fontId="1" fillId="5" borderId="4" xfId="11" applyFill="1" applyBorder="1"/>
    <xf numFmtId="0" fontId="1" fillId="0" borderId="0" xfId="11" applyAlignment="1">
      <alignment horizontal="right"/>
    </xf>
    <xf numFmtId="0" fontId="1" fillId="0" borderId="13" xfId="11" applyBorder="1"/>
    <xf numFmtId="0" fontId="1" fillId="0" borderId="7" xfId="11" applyBorder="1"/>
    <xf numFmtId="0" fontId="1" fillId="0" borderId="8" xfId="11" applyBorder="1"/>
    <xf numFmtId="0" fontId="1" fillId="0" borderId="9" xfId="11" applyBorder="1"/>
    <xf numFmtId="0" fontId="1" fillId="0" borderId="13" xfId="11" applyBorder="1" applyAlignment="1">
      <alignment horizontal="center"/>
    </xf>
    <xf numFmtId="0" fontId="1" fillId="0" borderId="11" xfId="11" applyBorder="1"/>
    <xf numFmtId="0" fontId="1" fillId="0" borderId="10" xfId="11" applyBorder="1" applyAlignment="1">
      <alignment horizontal="center"/>
    </xf>
    <xf numFmtId="0" fontId="1" fillId="0" borderId="12" xfId="11" applyBorder="1"/>
    <xf numFmtId="0" fontId="1" fillId="0" borderId="7" xfId="11" applyBorder="1" applyAlignment="1">
      <alignment horizontal="center" vertical="center"/>
    </xf>
    <xf numFmtId="11" fontId="1" fillId="4" borderId="14" xfId="11" applyNumberFormat="1" applyFill="1" applyBorder="1"/>
    <xf numFmtId="0" fontId="1" fillId="5" borderId="7" xfId="11" applyFill="1" applyBorder="1"/>
    <xf numFmtId="0" fontId="1" fillId="5" borderId="8" xfId="11" applyFill="1" applyBorder="1"/>
    <xf numFmtId="11" fontId="1" fillId="5" borderId="8" xfId="11" applyNumberFormat="1" applyFill="1" applyBorder="1"/>
    <xf numFmtId="0" fontId="1" fillId="5" borderId="9" xfId="11" applyFill="1" applyBorder="1"/>
    <xf numFmtId="11" fontId="1" fillId="6" borderId="1" xfId="11" applyNumberFormat="1" applyFill="1" applyBorder="1" applyAlignment="1">
      <alignment vertical="center"/>
    </xf>
    <xf numFmtId="0" fontId="1" fillId="0" borderId="15" xfId="11" applyBorder="1" applyAlignment="1">
      <alignment vertical="center"/>
    </xf>
    <xf numFmtId="0" fontId="1" fillId="0" borderId="7" xfId="11" applyBorder="1" applyAlignment="1">
      <alignment vertical="center"/>
    </xf>
    <xf numFmtId="165" fontId="1" fillId="0" borderId="0" xfId="11" applyNumberFormat="1" applyAlignment="1">
      <alignment vertical="center"/>
    </xf>
    <xf numFmtId="0" fontId="1" fillId="4" borderId="15" xfId="11" applyFill="1" applyBorder="1" applyAlignment="1">
      <alignment vertical="center"/>
    </xf>
    <xf numFmtId="0" fontId="41" fillId="0" borderId="0" xfId="11" applyFont="1" applyAlignment="1">
      <alignment vertical="center" wrapText="1"/>
    </xf>
    <xf numFmtId="0" fontId="1" fillId="6" borderId="10" xfId="11" applyFill="1" applyBorder="1" applyAlignment="1">
      <alignment vertical="center"/>
    </xf>
    <xf numFmtId="0" fontId="3" fillId="0" borderId="0" xfId="11" applyFont="1" applyAlignment="1">
      <alignment horizontal="center" vertical="center"/>
    </xf>
    <xf numFmtId="0" fontId="1" fillId="0" borderId="15" xfId="11" applyBorder="1"/>
    <xf numFmtId="0" fontId="1" fillId="4" borderId="1" xfId="11" applyFill="1" applyBorder="1"/>
    <xf numFmtId="11" fontId="1" fillId="4" borderId="1" xfId="11" applyNumberFormat="1" applyFill="1" applyBorder="1" applyAlignment="1">
      <alignment horizontal="right"/>
    </xf>
    <xf numFmtId="164" fontId="1" fillId="0" borderId="1" xfId="11" applyNumberFormat="1" applyBorder="1"/>
    <xf numFmtId="164" fontId="1" fillId="4" borderId="1" xfId="11" applyNumberFormat="1" applyFill="1" applyBorder="1"/>
    <xf numFmtId="164" fontId="1" fillId="0" borderId="0" xfId="11" applyNumberFormat="1"/>
    <xf numFmtId="165" fontId="1" fillId="0" borderId="0" xfId="11" applyNumberFormat="1"/>
    <xf numFmtId="11" fontId="1" fillId="4" borderId="1" xfId="11" applyNumberFormat="1" applyFill="1" applyBorder="1" applyAlignment="1">
      <alignment horizontal="center"/>
    </xf>
    <xf numFmtId="164" fontId="1" fillId="0" borderId="1" xfId="11" applyNumberFormat="1" applyBorder="1" applyAlignment="1">
      <alignment horizontal="right"/>
    </xf>
    <xf numFmtId="0" fontId="1" fillId="3" borderId="5" xfId="11" applyFill="1" applyBorder="1" applyProtection="1">
      <protection locked="0"/>
    </xf>
    <xf numFmtId="0" fontId="1" fillId="3" borderId="2" xfId="11" applyFill="1" applyBorder="1" applyProtection="1">
      <protection locked="0"/>
    </xf>
    <xf numFmtId="0" fontId="1" fillId="3" borderId="6" xfId="11" applyFill="1" applyBorder="1" applyProtection="1">
      <protection locked="0"/>
    </xf>
    <xf numFmtId="0" fontId="1" fillId="3" borderId="3" xfId="11" applyFill="1" applyBorder="1" applyProtection="1">
      <protection locked="0"/>
    </xf>
    <xf numFmtId="0" fontId="1" fillId="3" borderId="0" xfId="11" quotePrefix="1" applyFill="1" applyProtection="1">
      <protection locked="0"/>
    </xf>
    <xf numFmtId="0" fontId="1" fillId="3" borderId="0" xfId="11" applyFill="1" applyProtection="1">
      <protection locked="0"/>
    </xf>
    <xf numFmtId="0" fontId="1" fillId="3" borderId="4" xfId="11" applyFill="1" applyBorder="1" applyProtection="1">
      <protection locked="0"/>
    </xf>
    <xf numFmtId="0" fontId="1" fillId="3" borderId="7" xfId="11" applyFill="1" applyBorder="1" applyProtection="1">
      <protection locked="0"/>
    </xf>
    <xf numFmtId="0" fontId="1" fillId="3" borderId="8" xfId="11" applyFill="1" applyBorder="1" applyProtection="1">
      <protection locked="0"/>
    </xf>
    <xf numFmtId="0" fontId="1" fillId="3" borderId="9" xfId="11"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2" applyFont="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8" applyBorder="1"/>
    <xf numFmtId="0" fontId="0" fillId="0" borderId="0" xfId="0" quotePrefix="1"/>
    <xf numFmtId="0" fontId="3" fillId="0" borderId="10" xfId="7" applyFont="1" applyBorder="1" applyAlignment="1">
      <alignment horizontal="left"/>
    </xf>
    <xf numFmtId="11" fontId="3" fillId="0" borderId="10" xfId="7" applyNumberFormat="1" applyFont="1" applyBorder="1" applyAlignment="1">
      <alignment horizontal="center" vertical="center"/>
    </xf>
    <xf numFmtId="0" fontId="3" fillId="0" borderId="0" xfId="7" applyFont="1" applyAlignment="1">
      <alignment horizontal="left"/>
    </xf>
    <xf numFmtId="11" fontId="3" fillId="0" borderId="0" xfId="7" applyNumberFormat="1" applyFont="1" applyAlignment="1">
      <alignment horizontal="center" vertical="center"/>
    </xf>
    <xf numFmtId="0" fontId="0" fillId="0" borderId="0" xfId="7" applyFont="1"/>
    <xf numFmtId="164" fontId="0" fillId="0" borderId="0" xfId="7" applyNumberFormat="1" applyFont="1" applyAlignment="1">
      <alignment horizontal="center"/>
    </xf>
    <xf numFmtId="0" fontId="0" fillId="0" borderId="0" xfId="7" applyFont="1" applyAlignment="1">
      <alignment horizontal="center"/>
    </xf>
    <xf numFmtId="0" fontId="0" fillId="0" borderId="0" xfId="7" applyFont="1" applyAlignment="1" applyProtection="1">
      <alignment horizontal="left" vertical="top" wrapText="1"/>
      <protection locked="0"/>
    </xf>
    <xf numFmtId="0" fontId="0" fillId="8" borderId="0" xfId="7" applyFont="1" applyFill="1"/>
    <xf numFmtId="0" fontId="3" fillId="0" borderId="34" xfId="7" applyFont="1" applyBorder="1"/>
    <xf numFmtId="11" fontId="3" fillId="0" borderId="34" xfId="7" applyNumberFormat="1" applyFont="1" applyBorder="1"/>
    <xf numFmtId="0" fontId="0" fillId="19" borderId="34" xfId="0" applyFill="1" applyBorder="1" applyAlignment="1" applyProtection="1">
      <alignment horizontal="center"/>
      <protection locked="0"/>
    </xf>
    <xf numFmtId="164" fontId="0" fillId="20" borderId="34" xfId="7"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7" applyNumberFormat="1" applyFont="1" applyBorder="1" applyAlignment="1">
      <alignment horizontal="center"/>
    </xf>
    <xf numFmtId="11" fontId="0" fillId="0" borderId="36" xfId="7" applyNumberFormat="1" applyFont="1" applyBorder="1"/>
    <xf numFmtId="0" fontId="0" fillId="0" borderId="35" xfId="7" applyFont="1" applyBorder="1"/>
    <xf numFmtId="0" fontId="0" fillId="0" borderId="37" xfId="7" applyFont="1" applyBorder="1" applyAlignment="1" applyProtection="1">
      <alignment vertical="top" wrapText="1"/>
      <protection locked="0"/>
    </xf>
    <xf numFmtId="0" fontId="0" fillId="0" borderId="38" xfId="7" applyFont="1" applyBorder="1" applyAlignment="1">
      <alignment wrapText="1"/>
    </xf>
    <xf numFmtId="0" fontId="0" fillId="0" borderId="38" xfId="7" applyFont="1" applyBorder="1" applyAlignment="1" applyProtection="1">
      <alignment horizontal="left" vertical="top" wrapText="1"/>
      <protection locked="0"/>
    </xf>
    <xf numFmtId="0" fontId="0" fillId="8" borderId="40" xfId="7" applyFont="1" applyFill="1" applyBorder="1" applyAlignment="1">
      <alignment horizontal="center" vertical="center"/>
    </xf>
    <xf numFmtId="164" fontId="0" fillId="20" borderId="35" xfId="7" applyNumberFormat="1" applyFont="1" applyFill="1" applyBorder="1" applyAlignment="1">
      <alignment horizontal="center"/>
    </xf>
    <xf numFmtId="0" fontId="0" fillId="20" borderId="34" xfId="7" applyFont="1" applyFill="1" applyBorder="1" applyAlignment="1">
      <alignment horizontal="center"/>
    </xf>
    <xf numFmtId="0" fontId="40" fillId="0" borderId="0" xfId="0" applyFont="1"/>
    <xf numFmtId="164" fontId="4" fillId="20" borderId="1" xfId="8" applyNumberFormat="1" applyFill="1" applyBorder="1"/>
    <xf numFmtId="164" fontId="0" fillId="20" borderId="1" xfId="0" applyNumberFormat="1" applyFill="1" applyBorder="1"/>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7" applyBorder="1"/>
    <xf numFmtId="11" fontId="3" fillId="0" borderId="12" xfId="7" applyNumberFormat="1" applyFont="1" applyBorder="1"/>
    <xf numFmtId="164" fontId="4" fillId="3" borderId="34" xfId="7"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4" fillId="0" borderId="0" xfId="0" applyFont="1"/>
    <xf numFmtId="0" fontId="43" fillId="3" borderId="0" xfId="12" applyFont="1" applyFill="1" applyBorder="1" applyAlignment="1" applyProtection="1"/>
    <xf numFmtId="0" fontId="0" fillId="0" borderId="36" xfId="0" applyBorder="1"/>
    <xf numFmtId="0" fontId="0" fillId="20" borderId="36" xfId="0" applyFill="1" applyBorder="1" applyProtection="1">
      <protection locked="0"/>
    </xf>
    <xf numFmtId="0" fontId="1" fillId="20" borderId="0" xfId="0" applyFont="1" applyFill="1" applyProtection="1">
      <protection locked="0"/>
    </xf>
    <xf numFmtId="0" fontId="0" fillId="19" borderId="35" xfId="0" applyFill="1" applyBorder="1" applyAlignment="1" applyProtection="1">
      <alignment horizontal="center"/>
      <protection locked="0"/>
    </xf>
    <xf numFmtId="11" fontId="4" fillId="0" borderId="50" xfId="7" applyNumberFormat="1" applyBorder="1"/>
    <xf numFmtId="0" fontId="0" fillId="19" borderId="0" xfId="0" applyFill="1" applyAlignment="1">
      <alignment horizontal="left"/>
    </xf>
    <xf numFmtId="0" fontId="43" fillId="0" borderId="0" xfId="12" quotePrefix="1" applyFont="1" applyAlignment="1" applyProtection="1"/>
    <xf numFmtId="0" fontId="49"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1"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1" applyBorder="1" applyAlignment="1">
      <alignment horizontal="left" vertical="center"/>
    </xf>
    <xf numFmtId="164" fontId="0" fillId="20" borderId="1" xfId="8" applyNumberFormat="1" applyFont="1" applyFill="1" applyBorder="1"/>
    <xf numFmtId="0" fontId="3" fillId="0" borderId="35" xfId="7" applyFont="1" applyBorder="1" applyAlignment="1">
      <alignment horizontal="left" wrapText="1"/>
    </xf>
    <xf numFmtId="0" fontId="3" fillId="20" borderId="35" xfId="7" applyFont="1" applyFill="1" applyBorder="1" applyAlignment="1">
      <alignment horizontal="left"/>
    </xf>
    <xf numFmtId="0" fontId="3" fillId="0" borderId="1" xfId="7"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2" fillId="0" borderId="0" xfId="0" applyFont="1"/>
    <xf numFmtId="0" fontId="53" fillId="0" borderId="0" xfId="0" applyFont="1"/>
    <xf numFmtId="0" fontId="6" fillId="3" borderId="0" xfId="12" applyFont="1" applyFill="1" applyBorder="1" applyAlignment="1" applyProtection="1"/>
    <xf numFmtId="0" fontId="6" fillId="23" borderId="0" xfId="12" applyFont="1" applyFill="1" applyBorder="1" applyAlignment="1" applyProtection="1"/>
    <xf numFmtId="0" fontId="43" fillId="3" borderId="39" xfId="12"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2" applyFont="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1"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8" applyNumberFormat="1" applyFont="1" applyFill="1" applyBorder="1"/>
    <xf numFmtId="0" fontId="3" fillId="0" borderId="3" xfId="0" applyFont="1" applyBorder="1"/>
    <xf numFmtId="0" fontId="0" fillId="0" borderId="49" xfId="0" applyBorder="1" applyAlignment="1">
      <alignment horizontal="right" vertical="center"/>
    </xf>
    <xf numFmtId="0" fontId="56" fillId="0" borderId="11" xfId="0" applyFont="1" applyBorder="1" applyAlignment="1">
      <alignment horizontal="left" vertical="center" wrapText="1"/>
    </xf>
    <xf numFmtId="0" fontId="56"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57" fillId="0" borderId="0" xfId="0" applyFont="1"/>
    <xf numFmtId="0" fontId="0" fillId="0" borderId="0" xfId="0" applyAlignment="1">
      <alignment vertical="top" textRotation="90"/>
    </xf>
    <xf numFmtId="0" fontId="56" fillId="0" borderId="1" xfId="0" applyFont="1" applyBorder="1" applyAlignment="1">
      <alignment horizontal="center" vertical="center" wrapText="1"/>
    </xf>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0" fillId="3" borderId="0" xfId="0" quotePrefix="1" applyFill="1" applyAlignment="1" applyProtection="1">
      <alignment horizontal="center"/>
      <protection locked="0"/>
    </xf>
    <xf numFmtId="0" fontId="1" fillId="0" borderId="1" xfId="3" applyFont="1" applyBorder="1" applyAlignment="1" applyProtection="1">
      <alignment horizontal="center"/>
      <protection locked="0"/>
    </xf>
    <xf numFmtId="0" fontId="3" fillId="0" borderId="15" xfId="3" applyFont="1" applyBorder="1" applyAlignment="1">
      <alignment horizontal="center" wrapText="1"/>
    </xf>
    <xf numFmtId="0" fontId="4" fillId="0" borderId="4" xfId="3" applyBorder="1"/>
    <xf numFmtId="0" fontId="4" fillId="0" borderId="4" xfId="3" applyBorder="1" applyAlignment="1">
      <alignment vertical="top" wrapText="1"/>
    </xf>
    <xf numFmtId="0" fontId="4" fillId="0" borderId="4" xfId="3" applyBorder="1" applyAlignment="1" applyProtection="1">
      <alignment vertical="top"/>
      <protection locked="0"/>
    </xf>
    <xf numFmtId="0" fontId="4" fillId="0" borderId="9" xfId="3" applyBorder="1" applyAlignment="1" applyProtection="1">
      <alignment vertical="top"/>
      <protection locked="0"/>
    </xf>
    <xf numFmtId="0" fontId="4" fillId="0" borderId="13" xfId="3" applyBorder="1" applyAlignment="1">
      <alignment vertical="top" wrapText="1"/>
    </xf>
    <xf numFmtId="0" fontId="3" fillId="19" borderId="0" xfId="0" applyFont="1" applyFill="1"/>
    <xf numFmtId="0" fontId="3" fillId="19" borderId="5" xfId="0" applyFont="1" applyFill="1" applyBorder="1"/>
    <xf numFmtId="0" fontId="3" fillId="19" borderId="2" xfId="0" applyFont="1" applyFill="1" applyBorder="1"/>
    <xf numFmtId="0" fontId="0" fillId="19" borderId="2" xfId="0" applyFill="1" applyBorder="1"/>
    <xf numFmtId="0" fontId="0" fillId="19" borderId="6" xfId="0" applyFill="1" applyBorder="1"/>
    <xf numFmtId="0" fontId="0" fillId="19" borderId="4" xfId="0" applyFill="1" applyBorder="1"/>
    <xf numFmtId="0" fontId="0" fillId="19" borderId="3" xfId="0" applyFill="1" applyBorder="1" applyAlignment="1">
      <alignment horizontal="left"/>
    </xf>
    <xf numFmtId="0" fontId="5" fillId="19" borderId="3" xfId="0" applyFont="1" applyFill="1" applyBorder="1" applyAlignment="1">
      <alignment horizontal="left"/>
    </xf>
    <xf numFmtId="0" fontId="31" fillId="19" borderId="3" xfId="0" applyFont="1" applyFill="1" applyBorder="1" applyAlignment="1">
      <alignment horizontal="left"/>
    </xf>
    <xf numFmtId="0" fontId="0" fillId="19" borderId="0" xfId="0" applyFill="1" applyAlignment="1">
      <alignment horizontal="left" wrapText="1"/>
    </xf>
    <xf numFmtId="0" fontId="0" fillId="19" borderId="4" xfId="0" applyFill="1" applyBorder="1" applyAlignment="1">
      <alignment horizontal="left" wrapText="1"/>
    </xf>
    <xf numFmtId="0" fontId="1" fillId="19" borderId="3" xfId="0" applyFont="1" applyFill="1" applyBorder="1" applyAlignment="1">
      <alignment horizontal="left"/>
    </xf>
    <xf numFmtId="0" fontId="3" fillId="19" borderId="3" xfId="0" applyFont="1" applyFill="1" applyBorder="1"/>
    <xf numFmtId="0" fontId="3" fillId="19" borderId="4" xfId="0" applyFont="1" applyFill="1" applyBorder="1"/>
    <xf numFmtId="0" fontId="1" fillId="19" borderId="3" xfId="0" applyFont="1" applyFill="1" applyBorder="1" applyAlignment="1">
      <alignment horizontal="center"/>
    </xf>
    <xf numFmtId="0" fontId="1" fillId="19" borderId="0" xfId="0" applyFont="1" applyFill="1"/>
    <xf numFmtId="0" fontId="1" fillId="19" borderId="0" xfId="0" quotePrefix="1" applyFont="1" applyFill="1"/>
    <xf numFmtId="0" fontId="0" fillId="19" borderId="0" xfId="0" quotePrefix="1" applyFill="1"/>
    <xf numFmtId="0" fontId="0" fillId="19" borderId="3" xfId="0" applyFill="1" applyBorder="1" applyAlignment="1">
      <alignment horizontal="center"/>
    </xf>
    <xf numFmtId="0" fontId="0" fillId="19" borderId="7" xfId="0" applyFill="1" applyBorder="1"/>
    <xf numFmtId="0" fontId="0" fillId="19" borderId="8" xfId="0" applyFill="1" applyBorder="1"/>
    <xf numFmtId="0" fontId="0" fillId="19" borderId="9" xfId="0" applyFill="1" applyBorder="1"/>
    <xf numFmtId="0" fontId="1" fillId="0" borderId="4" xfId="0" applyFont="1" applyBorder="1"/>
    <xf numFmtId="0" fontId="1" fillId="0" borderId="7" xfId="0" applyFont="1" applyBorder="1"/>
    <xf numFmtId="0" fontId="1" fillId="0" borderId="9" xfId="0" applyFont="1" applyBorder="1"/>
    <xf numFmtId="0" fontId="1" fillId="0" borderId="2" xfId="0" applyFont="1" applyBorder="1" applyAlignment="1">
      <alignment vertical="top"/>
    </xf>
    <xf numFmtId="0" fontId="1" fillId="0" borderId="6" xfId="0" applyFont="1" applyBorder="1" applyAlignment="1">
      <alignment vertical="top"/>
    </xf>
    <xf numFmtId="0" fontId="1" fillId="0" borderId="4" xfId="0" applyFont="1" applyBorder="1" applyAlignment="1">
      <alignment vertical="top"/>
    </xf>
    <xf numFmtId="0" fontId="1" fillId="0" borderId="9" xfId="0" applyFont="1" applyBorder="1" applyAlignment="1">
      <alignment vertical="top"/>
    </xf>
    <xf numFmtId="0" fontId="58" fillId="0" borderId="0" xfId="0" applyFont="1" applyAlignment="1">
      <alignment readingOrder="1"/>
    </xf>
    <xf numFmtId="0" fontId="6" fillId="0" borderId="0" xfId="12" applyFont="1"/>
    <xf numFmtId="0" fontId="59" fillId="19" borderId="15" xfId="0" applyFont="1" applyFill="1" applyBorder="1" applyAlignment="1">
      <alignment horizontal="center" vertical="top" wrapText="1"/>
    </xf>
    <xf numFmtId="0" fontId="0" fillId="3" borderId="34" xfId="0" applyFill="1" applyBorder="1" applyProtection="1">
      <protection locked="0"/>
    </xf>
    <xf numFmtId="0" fontId="0" fillId="4" borderId="14" xfId="0" applyFill="1" applyBorder="1"/>
    <xf numFmtId="0" fontId="0" fillId="0" borderId="34" xfId="0" applyBorder="1"/>
    <xf numFmtId="0" fontId="0" fillId="4" borderId="34" xfId="0" applyFill="1" applyBorder="1"/>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49" fillId="0" borderId="70" xfId="0" applyFont="1" applyBorder="1"/>
    <xf numFmtId="0" fontId="41" fillId="0" borderId="45" xfId="0" applyFont="1" applyBorder="1" applyAlignment="1">
      <alignment horizontal="center" wrapText="1"/>
    </xf>
    <xf numFmtId="0" fontId="41" fillId="0" borderId="46" xfId="0" applyFont="1" applyBorder="1" applyAlignment="1">
      <alignment horizontal="center" wrapText="1"/>
    </xf>
    <xf numFmtId="0" fontId="41" fillId="0" borderId="38" xfId="0" applyFont="1" applyBorder="1" applyAlignment="1">
      <alignment horizontal="center" wrapText="1"/>
    </xf>
    <xf numFmtId="0" fontId="41" fillId="0" borderId="39" xfId="0" applyFont="1" applyBorder="1" applyAlignment="1">
      <alignment horizontal="center" wrapText="1"/>
    </xf>
    <xf numFmtId="0" fontId="41" fillId="0" borderId="0" xfId="0" applyFont="1" applyAlignment="1">
      <alignment horizontal="center" wrapText="1"/>
    </xf>
    <xf numFmtId="0" fontId="41" fillId="0" borderId="36" xfId="0" applyFont="1" applyBorder="1" applyAlignment="1">
      <alignment horizontal="center" wrapText="1"/>
    </xf>
    <xf numFmtId="0" fontId="56" fillId="0" borderId="11" xfId="0" applyFont="1" applyBorder="1" applyAlignment="1">
      <alignment horizontal="center" vertical="center" wrapText="1"/>
    </xf>
    <xf numFmtId="0" fontId="41" fillId="0" borderId="3" xfId="0" applyFont="1" applyBorder="1"/>
    <xf numFmtId="0" fontId="0" fillId="20" borderId="2" xfId="0" applyFill="1" applyBorder="1"/>
    <xf numFmtId="0" fontId="1" fillId="20" borderId="2" xfId="0" applyFont="1" applyFill="1" applyBorder="1"/>
    <xf numFmtId="0" fontId="1" fillId="20" borderId="2" xfId="0" applyFont="1" applyFill="1" applyBorder="1" applyProtection="1">
      <protection locked="0"/>
    </xf>
    <xf numFmtId="0" fontId="0" fillId="20" borderId="6" xfId="0" applyFill="1" applyBorder="1" applyProtection="1">
      <protection locked="0"/>
    </xf>
    <xf numFmtId="0" fontId="0" fillId="20" borderId="4" xfId="0" applyFill="1" applyBorder="1" applyProtection="1">
      <protection locked="0"/>
    </xf>
    <xf numFmtId="0" fontId="1" fillId="20" borderId="3" xfId="0" applyFont="1" applyFill="1" applyBorder="1" applyProtection="1">
      <protection locked="0"/>
    </xf>
    <xf numFmtId="0" fontId="1" fillId="20" borderId="7" xfId="0" applyFont="1" applyFill="1" applyBorder="1" applyProtection="1">
      <protection locked="0"/>
    </xf>
    <xf numFmtId="0" fontId="1" fillId="20" borderId="8" xfId="0" applyFont="1" applyFill="1" applyBorder="1" applyProtection="1">
      <protection locked="0"/>
    </xf>
    <xf numFmtId="0" fontId="0" fillId="20" borderId="9" xfId="0" applyFill="1" applyBorder="1" applyProtection="1">
      <protection locked="0"/>
    </xf>
    <xf numFmtId="164" fontId="10" fillId="24" borderId="11" xfId="0" applyNumberFormat="1" applyFont="1" applyFill="1" applyBorder="1"/>
    <xf numFmtId="164" fontId="10" fillId="24" borderId="1" xfId="0" applyNumberFormat="1" applyFont="1" applyFill="1" applyBorder="1"/>
    <xf numFmtId="164" fontId="10" fillId="24" borderId="7" xfId="0" applyNumberFormat="1" applyFont="1" applyFill="1" applyBorder="1"/>
    <xf numFmtId="164" fontId="10" fillId="24" borderId="15" xfId="0" applyNumberFormat="1" applyFont="1" applyFill="1" applyBorder="1"/>
    <xf numFmtId="164" fontId="10" fillId="20" borderId="11" xfId="8" applyNumberFormat="1" applyFont="1" applyFill="1" applyBorder="1"/>
    <xf numFmtId="164" fontId="10" fillId="20" borderId="1" xfId="8" applyNumberFormat="1" applyFont="1" applyFill="1" applyBorder="1"/>
    <xf numFmtId="164" fontId="10" fillId="20" borderId="1" xfId="0" applyNumberFormat="1" applyFont="1" applyFill="1" applyBorder="1"/>
    <xf numFmtId="164" fontId="10" fillId="20" borderId="11" xfId="0" applyNumberFormat="1" applyFont="1" applyFill="1" applyBorder="1"/>
    <xf numFmtId="0" fontId="0" fillId="3" borderId="41" xfId="0" applyFill="1" applyBorder="1" applyProtection="1">
      <protection locked="0"/>
    </xf>
    <xf numFmtId="0" fontId="0" fillId="3" borderId="37" xfId="0" applyFill="1" applyBorder="1" applyProtection="1">
      <protection locked="0"/>
    </xf>
    <xf numFmtId="0" fontId="6" fillId="3" borderId="39" xfId="12" applyFont="1" applyFill="1" applyBorder="1"/>
    <xf numFmtId="0" fontId="62" fillId="0" borderId="0" xfId="0" applyFont="1"/>
    <xf numFmtId="0" fontId="3" fillId="0" borderId="3" xfId="0" applyFont="1" applyBorder="1" applyAlignment="1">
      <alignment vertical="top" wrapText="1"/>
    </xf>
    <xf numFmtId="0" fontId="3" fillId="0" borderId="0" xfId="0" applyFont="1" applyAlignment="1">
      <alignment vertical="top" wrapText="1"/>
    </xf>
    <xf numFmtId="0" fontId="3" fillId="0" borderId="4" xfId="0" applyFont="1" applyBorder="1" applyAlignment="1">
      <alignment vertical="top" wrapText="1"/>
    </xf>
    <xf numFmtId="0" fontId="41" fillId="0" borderId="34" xfId="0" applyFont="1" applyBorder="1"/>
    <xf numFmtId="0" fontId="41" fillId="0" borderId="45" xfId="0" applyFont="1" applyBorder="1"/>
    <xf numFmtId="1" fontId="0" fillId="20" borderId="14" xfId="0" applyNumberFormat="1" applyFill="1" applyBorder="1" applyProtection="1">
      <protection locked="0"/>
    </xf>
    <xf numFmtId="1" fontId="0" fillId="4" borderId="15" xfId="0" applyNumberFormat="1" applyFill="1" applyBorder="1"/>
    <xf numFmtId="0" fontId="41" fillId="0" borderId="46" xfId="0" applyFont="1" applyBorder="1"/>
    <xf numFmtId="11" fontId="0" fillId="0" borderId="9" xfId="0" applyNumberFormat="1" applyBorder="1" applyAlignment="1">
      <alignment horizontal="center"/>
    </xf>
    <xf numFmtId="0" fontId="10" fillId="20" borderId="5" xfId="0" applyFont="1" applyFill="1" applyBorder="1"/>
    <xf numFmtId="0" fontId="10" fillId="20" borderId="3" xfId="0" applyFont="1" applyFill="1" applyBorder="1"/>
    <xf numFmtId="0" fontId="6" fillId="0" borderId="0" xfId="12" applyFont="1" applyBorder="1" applyAlignment="1" applyProtection="1"/>
    <xf numFmtId="0" fontId="0" fillId="3" borderId="36" xfId="0" applyFill="1" applyBorder="1" applyAlignment="1" applyProtection="1">
      <alignment vertical="top"/>
      <protection locked="0"/>
    </xf>
    <xf numFmtId="0" fontId="3" fillId="0" borderId="9" xfId="3" applyFont="1" applyBorder="1" applyAlignment="1">
      <alignment horizontal="center" wrapText="1"/>
    </xf>
    <xf numFmtId="0" fontId="64" fillId="0" borderId="1" xfId="0" applyFont="1" applyBorder="1" applyAlignment="1">
      <alignment horizontal="center" vertical="center" wrapText="1"/>
    </xf>
    <xf numFmtId="0" fontId="66" fillId="0" borderId="5" xfId="9" applyFont="1" applyBorder="1" applyAlignment="1">
      <alignment vertical="top"/>
    </xf>
    <xf numFmtId="0" fontId="66" fillId="0" borderId="2" xfId="9" applyFont="1" applyBorder="1" applyAlignment="1">
      <alignment vertical="top"/>
    </xf>
    <xf numFmtId="0" fontId="66" fillId="0" borderId="56" xfId="9" applyFont="1" applyBorder="1" applyAlignment="1">
      <alignment vertical="top"/>
    </xf>
    <xf numFmtId="0" fontId="66" fillId="0" borderId="3" xfId="9" applyFont="1" applyBorder="1" applyAlignment="1">
      <alignment vertical="top"/>
    </xf>
    <xf numFmtId="0" fontId="65" fillId="0" borderId="0" xfId="3" applyFont="1"/>
    <xf numFmtId="0" fontId="66" fillId="0" borderId="0" xfId="9" applyFont="1" applyAlignment="1">
      <alignment vertical="top"/>
    </xf>
    <xf numFmtId="0" fontId="66" fillId="0" borderId="36" xfId="9" applyFont="1" applyBorder="1" applyAlignment="1">
      <alignment vertical="top"/>
    </xf>
    <xf numFmtId="0" fontId="67" fillId="0" borderId="0" xfId="0" applyFont="1"/>
    <xf numFmtId="0" fontId="66" fillId="0" borderId="0" xfId="3" applyFont="1"/>
    <xf numFmtId="0" fontId="66" fillId="0" borderId="0" xfId="0" applyFont="1" applyAlignment="1">
      <alignment wrapText="1"/>
    </xf>
    <xf numFmtId="0" fontId="67" fillId="0" borderId="0" xfId="0" quotePrefix="1" applyFont="1"/>
    <xf numFmtId="0" fontId="66" fillId="0" borderId="0" xfId="9" quotePrefix="1" applyFont="1" applyAlignment="1">
      <alignment vertical="top"/>
    </xf>
    <xf numFmtId="0" fontId="66" fillId="0" borderId="0" xfId="9" quotePrefix="1" applyFont="1"/>
    <xf numFmtId="0" fontId="66" fillId="0" borderId="0" xfId="9" applyFont="1"/>
    <xf numFmtId="0" fontId="66" fillId="0" borderId="36" xfId="9" applyFont="1" applyBorder="1"/>
    <xf numFmtId="0" fontId="65" fillId="0" borderId="0" xfId="9" applyFont="1" applyAlignment="1">
      <alignment vertical="top"/>
    </xf>
    <xf numFmtId="0" fontId="68" fillId="0" borderId="0" xfId="10" quotePrefix="1" applyFont="1" applyFill="1" applyBorder="1" applyAlignment="1" applyProtection="1"/>
    <xf numFmtId="0" fontId="69" fillId="0" borderId="0" xfId="9" applyFont="1"/>
    <xf numFmtId="0" fontId="70" fillId="0" borderId="0" xfId="9" applyFont="1" applyAlignment="1">
      <alignment vertical="top"/>
    </xf>
    <xf numFmtId="0" fontId="69" fillId="0" borderId="0" xfId="9" applyFont="1" applyAlignment="1">
      <alignment vertical="top"/>
    </xf>
    <xf numFmtId="0" fontId="71" fillId="0" borderId="3" xfId="9" applyFont="1" applyBorder="1" applyAlignment="1">
      <alignment horizontal="right" vertical="top"/>
    </xf>
    <xf numFmtId="0" fontId="71" fillId="0" borderId="36" xfId="9" applyFont="1" applyBorder="1" applyAlignment="1">
      <alignment vertical="top"/>
    </xf>
    <xf numFmtId="0" fontId="66" fillId="0" borderId="0" xfId="3" applyFont="1" applyAlignment="1">
      <alignment vertical="top"/>
    </xf>
    <xf numFmtId="0" fontId="66" fillId="0" borderId="36" xfId="3" applyFont="1" applyBorder="1" applyAlignment="1">
      <alignment vertical="top"/>
    </xf>
    <xf numFmtId="0" fontId="66" fillId="0" borderId="3" xfId="3" applyFont="1" applyBorder="1" applyAlignment="1">
      <alignment vertical="top"/>
    </xf>
    <xf numFmtId="0" fontId="66" fillId="0" borderId="7" xfId="3" applyFont="1" applyBorder="1" applyAlignment="1">
      <alignment vertical="top"/>
    </xf>
    <xf numFmtId="0" fontId="66" fillId="0" borderId="8" xfId="3" applyFont="1" applyBorder="1" applyAlignment="1">
      <alignment vertical="top"/>
    </xf>
    <xf numFmtId="0" fontId="66" fillId="0" borderId="48" xfId="3" applyFont="1" applyBorder="1" applyAlignment="1">
      <alignment vertical="top"/>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46" fillId="29" borderId="0" xfId="0" applyFont="1" applyFill="1"/>
    <xf numFmtId="0" fontId="46" fillId="29" borderId="36" xfId="0" applyFont="1" applyFill="1" applyBorder="1"/>
    <xf numFmtId="0" fontId="47" fillId="29" borderId="0" xfId="0" applyFont="1" applyFill="1"/>
    <xf numFmtId="0" fontId="46" fillId="29" borderId="0" xfId="0" quotePrefix="1" applyFont="1" applyFill="1"/>
    <xf numFmtId="0" fontId="46" fillId="19" borderId="0" xfId="0" applyFont="1" applyFill="1"/>
    <xf numFmtId="0" fontId="0" fillId="19" borderId="3" xfId="0" applyFill="1" applyBorder="1" applyProtection="1">
      <protection locked="0"/>
    </xf>
    <xf numFmtId="0" fontId="0" fillId="19" borderId="36" xfId="0" applyFill="1" applyBorder="1" applyProtection="1">
      <protection locked="0"/>
    </xf>
    <xf numFmtId="0" fontId="43" fillId="19" borderId="0" xfId="12" quotePrefix="1" applyFont="1" applyFill="1" applyAlignment="1" applyProtection="1"/>
    <xf numFmtId="0" fontId="0" fillId="19" borderId="7" xfId="0" applyFill="1" applyBorder="1" applyProtection="1">
      <protection locked="0"/>
    </xf>
    <xf numFmtId="0" fontId="0" fillId="19" borderId="8" xfId="0" applyFill="1" applyBorder="1" applyProtection="1">
      <protection locked="0"/>
    </xf>
    <xf numFmtId="0" fontId="0" fillId="19" borderId="48" xfId="0" applyFill="1" applyBorder="1" applyProtection="1">
      <protection locked="0"/>
    </xf>
    <xf numFmtId="0" fontId="0" fillId="3" borderId="8" xfId="0" applyFill="1" applyBorder="1" applyAlignment="1" applyProtection="1">
      <alignment vertical="top"/>
      <protection locked="0"/>
    </xf>
    <xf numFmtId="0" fontId="0" fillId="20" borderId="8" xfId="0" applyFill="1" applyBorder="1" applyProtection="1">
      <protection locked="0"/>
    </xf>
    <xf numFmtId="0" fontId="0" fillId="20" borderId="2" xfId="0" applyFill="1" applyBorder="1" applyProtection="1">
      <protection locked="0"/>
    </xf>
    <xf numFmtId="0" fontId="0" fillId="0" borderId="0" xfId="0" applyAlignment="1">
      <alignment vertical="top" wrapText="1"/>
    </xf>
    <xf numFmtId="0" fontId="0" fillId="0" borderId="0" xfId="0" applyAlignment="1">
      <alignment horizontal="center" vertical="top"/>
    </xf>
    <xf numFmtId="0" fontId="1" fillId="0" borderId="0" xfId="0" applyFont="1" applyAlignment="1">
      <alignment horizontal="left" vertical="top"/>
    </xf>
    <xf numFmtId="0" fontId="3" fillId="19" borderId="3" xfId="0" applyFont="1" applyFill="1" applyBorder="1" applyAlignment="1">
      <alignment vertical="top"/>
    </xf>
    <xf numFmtId="0" fontId="1" fillId="19" borderId="3" xfId="0" applyFont="1" applyFill="1" applyBorder="1" applyAlignment="1">
      <alignment vertical="top"/>
    </xf>
    <xf numFmtId="0" fontId="0" fillId="19" borderId="0" xfId="0" applyFill="1" applyAlignment="1">
      <alignment vertical="top"/>
    </xf>
    <xf numFmtId="0" fontId="1" fillId="19" borderId="0" xfId="0" applyFont="1" applyFill="1" applyAlignment="1">
      <alignment horizontal="center" vertical="center" wrapText="1"/>
    </xf>
    <xf numFmtId="0" fontId="0" fillId="19" borderId="0" xfId="0" applyFill="1" applyAlignment="1">
      <alignment horizontal="center" vertical="center" wrapText="1"/>
    </xf>
    <xf numFmtId="0" fontId="0" fillId="3" borderId="7" xfId="0" applyFill="1" applyBorder="1" applyAlignment="1" applyProtection="1">
      <alignment vertical="top"/>
      <protection locked="0"/>
    </xf>
    <xf numFmtId="0" fontId="0" fillId="0" borderId="6" xfId="0" applyBorder="1" applyAlignment="1">
      <alignment vertical="top" wrapText="1"/>
    </xf>
    <xf numFmtId="0" fontId="0" fillId="0" borderId="4" xfId="0" applyBorder="1" applyAlignment="1">
      <alignment vertical="top" wrapText="1"/>
    </xf>
    <xf numFmtId="0" fontId="3" fillId="19" borderId="4" xfId="0" applyFont="1" applyFill="1" applyBorder="1" applyAlignment="1">
      <alignment horizontal="left" vertical="top"/>
    </xf>
    <xf numFmtId="0" fontId="0" fillId="19" borderId="4" xfId="0" applyFill="1" applyBorder="1" applyAlignment="1">
      <alignment vertical="top"/>
    </xf>
    <xf numFmtId="0" fontId="1" fillId="0" borderId="0" xfId="3" applyFont="1"/>
    <xf numFmtId="0" fontId="10" fillId="0" borderId="5" xfId="9" applyFont="1" applyBorder="1" applyAlignment="1">
      <alignment vertical="top"/>
    </xf>
    <xf numFmtId="0" fontId="10" fillId="0" borderId="2" xfId="9" applyFont="1" applyBorder="1" applyAlignment="1">
      <alignment vertical="top"/>
    </xf>
    <xf numFmtId="0" fontId="10" fillId="0" borderId="6" xfId="9" applyFont="1" applyBorder="1" applyAlignment="1">
      <alignment vertical="top"/>
    </xf>
    <xf numFmtId="0" fontId="10" fillId="0" borderId="3" xfId="9" applyFont="1" applyBorder="1" applyAlignment="1">
      <alignment vertical="top"/>
    </xf>
    <xf numFmtId="0" fontId="10" fillId="0" borderId="4" xfId="9" applyFont="1" applyBorder="1" applyAlignment="1">
      <alignment vertical="top"/>
    </xf>
    <xf numFmtId="0" fontId="10" fillId="0" borderId="36" xfId="9" applyFont="1" applyBorder="1" applyAlignment="1">
      <alignment vertical="top"/>
    </xf>
    <xf numFmtId="0" fontId="10" fillId="0" borderId="36" xfId="9" applyFont="1" applyBorder="1"/>
    <xf numFmtId="0" fontId="12" fillId="0" borderId="0" xfId="9" applyFont="1" applyAlignment="1">
      <alignment vertical="top"/>
    </xf>
    <xf numFmtId="0" fontId="73" fillId="0" borderId="0" xfId="10" quotePrefix="1" applyFont="1" applyAlignment="1" applyProtection="1"/>
    <xf numFmtId="0" fontId="42" fillId="0" borderId="0" xfId="9" applyFont="1" applyAlignment="1">
      <alignment vertical="top"/>
    </xf>
    <xf numFmtId="0" fontId="37" fillId="0" borderId="0" xfId="9" applyFont="1" applyAlignment="1">
      <alignment vertical="top"/>
    </xf>
    <xf numFmtId="0" fontId="74" fillId="0" borderId="3" xfId="9" applyFont="1" applyBorder="1" applyAlignment="1">
      <alignment horizontal="right" vertical="top"/>
    </xf>
    <xf numFmtId="0" fontId="42" fillId="0" borderId="0" xfId="9" applyFont="1"/>
    <xf numFmtId="0" fontId="74" fillId="0" borderId="4" xfId="9" applyFont="1" applyBorder="1" applyAlignment="1">
      <alignment vertical="top"/>
    </xf>
    <xf numFmtId="0" fontId="75" fillId="0" borderId="0" xfId="12" applyFont="1" applyAlignment="1">
      <alignment vertical="top"/>
    </xf>
    <xf numFmtId="0" fontId="10" fillId="0" borderId="0" xfId="10" quotePrefix="1" applyFont="1" applyAlignment="1" applyProtection="1"/>
    <xf numFmtId="0" fontId="10" fillId="0" borderId="3" xfId="9" applyFont="1" applyBorder="1" applyAlignment="1">
      <alignment horizontal="right" vertical="top"/>
    </xf>
    <xf numFmtId="0" fontId="12" fillId="0" borderId="0" xfId="9" applyFont="1"/>
    <xf numFmtId="0" fontId="12" fillId="0" borderId="0" xfId="3" applyFont="1"/>
    <xf numFmtId="0" fontId="12" fillId="0" borderId="0" xfId="9" quotePrefix="1" applyFont="1" applyAlignment="1">
      <alignment vertical="top"/>
    </xf>
    <xf numFmtId="0" fontId="12" fillId="0" borderId="0" xfId="9" quotePrefix="1" applyFont="1"/>
    <xf numFmtId="0" fontId="1" fillId="19" borderId="11" xfId="0" applyFont="1" applyFill="1" applyBorder="1"/>
    <xf numFmtId="0" fontId="1" fillId="19" borderId="10" xfId="0" applyFont="1" applyFill="1" applyBorder="1"/>
    <xf numFmtId="0" fontId="1" fillId="19" borderId="12" xfId="0" applyFont="1" applyFill="1" applyBorder="1"/>
    <xf numFmtId="0" fontId="1" fillId="0" borderId="12" xfId="3" applyFont="1" applyBorder="1" applyAlignment="1" applyProtection="1">
      <alignment horizontal="center"/>
      <protection locked="0"/>
    </xf>
    <xf numFmtId="0" fontId="4" fillId="30" borderId="11" xfId="7" applyFill="1" applyBorder="1"/>
    <xf numFmtId="164" fontId="4" fillId="30" borderId="11" xfId="7" applyNumberFormat="1" applyFill="1" applyBorder="1" applyProtection="1">
      <protection locked="0"/>
    </xf>
    <xf numFmtId="11" fontId="4" fillId="30" borderId="14" xfId="7" applyNumberFormat="1" applyFill="1" applyBorder="1" applyAlignment="1">
      <alignment horizontal="center"/>
    </xf>
    <xf numFmtId="0" fontId="1" fillId="19" borderId="5" xfId="0" applyFont="1" applyFill="1" applyBorder="1"/>
    <xf numFmtId="0" fontId="1" fillId="19" borderId="2" xfId="0" applyFont="1" applyFill="1" applyBorder="1"/>
    <xf numFmtId="0" fontId="1" fillId="19" borderId="6" xfId="0" applyFont="1" applyFill="1" applyBorder="1"/>
    <xf numFmtId="0" fontId="40" fillId="0" borderId="0" xfId="9" applyFont="1"/>
    <xf numFmtId="0" fontId="40" fillId="0" borderId="0" xfId="9" applyFont="1" applyAlignment="1">
      <alignment vertical="top"/>
    </xf>
    <xf numFmtId="0" fontId="72" fillId="0" borderId="7" xfId="12" applyBorder="1"/>
    <xf numFmtId="0" fontId="76" fillId="0" borderId="0" xfId="0" applyFont="1"/>
    <xf numFmtId="0" fontId="60" fillId="0" borderId="0" xfId="0" applyFont="1"/>
    <xf numFmtId="11" fontId="76" fillId="0" borderId="0" xfId="0" applyNumberFormat="1" applyFont="1"/>
    <xf numFmtId="11" fontId="0" fillId="0" borderId="14" xfId="7" applyNumberFormat="1" applyFont="1" applyBorder="1" applyAlignment="1">
      <alignment horizontal="center"/>
    </xf>
    <xf numFmtId="11" fontId="0" fillId="0" borderId="53" xfId="7" applyNumberFormat="1" applyFont="1" applyBorder="1" applyAlignment="1">
      <alignment horizontal="center"/>
    </xf>
    <xf numFmtId="0" fontId="0" fillId="3" borderId="45" xfId="0" applyFill="1" applyBorder="1" applyProtection="1">
      <protection locked="0"/>
    </xf>
    <xf numFmtId="0" fontId="0" fillId="6" borderId="11" xfId="0" applyFill="1" applyBorder="1"/>
    <xf numFmtId="0" fontId="72" fillId="0" borderId="0" xfId="12" applyFill="1" applyBorder="1" applyAlignment="1"/>
    <xf numFmtId="0" fontId="1" fillId="0" borderId="0" xfId="12" applyFont="1" applyFill="1" applyBorder="1" applyAlignment="1"/>
    <xf numFmtId="0" fontId="1" fillId="0" borderId="36" xfId="12" applyFont="1" applyFill="1" applyBorder="1" applyAlignment="1"/>
    <xf numFmtId="0" fontId="0" fillId="0" borderId="40" xfId="0" applyBorder="1"/>
    <xf numFmtId="0" fontId="72" fillId="0" borderId="42" xfId="12" applyFill="1" applyBorder="1" applyAlignment="1"/>
    <xf numFmtId="0" fontId="1" fillId="0" borderId="42" xfId="12" applyFont="1" applyFill="1" applyBorder="1" applyAlignment="1"/>
    <xf numFmtId="0" fontId="1" fillId="0" borderId="49" xfId="12" applyFont="1" applyFill="1" applyBorder="1" applyAlignment="1"/>
    <xf numFmtId="0" fontId="0" fillId="0" borderId="45" xfId="0" applyBorder="1"/>
    <xf numFmtId="0" fontId="72" fillId="0" borderId="46" xfId="12" applyFill="1" applyBorder="1" applyAlignment="1"/>
    <xf numFmtId="0" fontId="1" fillId="0" borderId="46" xfId="12" applyFont="1" applyFill="1" applyBorder="1" applyAlignment="1"/>
    <xf numFmtId="0" fontId="1" fillId="0" borderId="38" xfId="12" applyFont="1" applyFill="1" applyBorder="1" applyAlignment="1"/>
    <xf numFmtId="0" fontId="72" fillId="0" borderId="47" xfId="12" applyFill="1" applyBorder="1" applyAlignment="1"/>
    <xf numFmtId="0" fontId="1" fillId="0" borderId="47" xfId="12" applyFont="1" applyFill="1" applyBorder="1" applyAlignment="1"/>
    <xf numFmtId="0" fontId="1" fillId="0" borderId="37" xfId="12" applyFont="1" applyFill="1" applyBorder="1" applyAlignment="1"/>
    <xf numFmtId="0" fontId="1" fillId="0" borderId="47" xfId="0" applyFont="1" applyBorder="1"/>
    <xf numFmtId="0" fontId="1" fillId="0" borderId="41" xfId="3" applyFont="1" applyBorder="1"/>
    <xf numFmtId="0" fontId="1" fillId="0" borderId="47" xfId="3" applyFont="1" applyBorder="1"/>
    <xf numFmtId="0" fontId="1" fillId="0" borderId="37" xfId="3" applyFont="1" applyBorder="1"/>
    <xf numFmtId="0" fontId="1" fillId="0" borderId="37" xfId="0" applyFont="1" applyBorder="1"/>
    <xf numFmtId="0" fontId="0" fillId="20" borderId="11" xfId="0" applyFill="1" applyBorder="1" applyProtection="1">
      <protection locked="0"/>
    </xf>
    <xf numFmtId="0" fontId="35" fillId="20" borderId="3" xfId="0" applyFont="1" applyFill="1" applyBorder="1" applyAlignment="1" applyProtection="1">
      <alignment wrapText="1"/>
      <protection locked="0"/>
    </xf>
    <xf numFmtId="0" fontId="35" fillId="20" borderId="36" xfId="0" applyFont="1" applyFill="1" applyBorder="1" applyAlignment="1" applyProtection="1">
      <alignment wrapText="1"/>
      <protection locked="0"/>
    </xf>
    <xf numFmtId="0" fontId="0" fillId="20" borderId="3" xfId="0" applyFill="1" applyBorder="1" applyAlignment="1" applyProtection="1">
      <alignment vertical="top"/>
      <protection locked="0"/>
    </xf>
    <xf numFmtId="0" fontId="0" fillId="20" borderId="36" xfId="0" applyFill="1" applyBorder="1" applyAlignment="1" applyProtection="1">
      <alignment vertical="top"/>
      <protection locked="0"/>
    </xf>
    <xf numFmtId="0" fontId="35" fillId="20" borderId="0" xfId="0" applyFont="1" applyFill="1" applyAlignment="1" applyProtection="1">
      <alignment wrapText="1"/>
      <protection locked="0"/>
    </xf>
    <xf numFmtId="0" fontId="0" fillId="20" borderId="0" xfId="0" applyFill="1" applyAlignment="1" applyProtection="1">
      <alignment vertical="top"/>
      <protection locked="0"/>
    </xf>
    <xf numFmtId="0" fontId="0" fillId="3" borderId="0" xfId="0" applyFill="1" applyAlignment="1" applyProtection="1">
      <alignment vertical="top"/>
      <protection locked="0"/>
    </xf>
    <xf numFmtId="0" fontId="0" fillId="3" borderId="48" xfId="0" applyFill="1" applyBorder="1" applyAlignment="1" applyProtection="1">
      <alignment vertical="top"/>
      <protection locked="0"/>
    </xf>
    <xf numFmtId="0" fontId="35" fillId="20" borderId="0" xfId="0" applyFont="1" applyFill="1" applyProtection="1">
      <protection locked="0"/>
    </xf>
    <xf numFmtId="0" fontId="35" fillId="20" borderId="0" xfId="0" quotePrefix="1" applyFont="1" applyFill="1" applyProtection="1">
      <protection locked="0"/>
    </xf>
    <xf numFmtId="0" fontId="0" fillId="3" borderId="48" xfId="0" applyFill="1" applyBorder="1" applyProtection="1">
      <protection locked="0"/>
    </xf>
    <xf numFmtId="0" fontId="0" fillId="20" borderId="56" xfId="0" applyFill="1" applyBorder="1" applyProtection="1">
      <protection locked="0"/>
    </xf>
    <xf numFmtId="0" fontId="0" fillId="20" borderId="48" xfId="0" applyFill="1" applyBorder="1" applyProtection="1">
      <protection locked="0"/>
    </xf>
    <xf numFmtId="0" fontId="43" fillId="0" borderId="1" xfId="12" applyFont="1" applyBorder="1"/>
    <xf numFmtId="0" fontId="6" fillId="3" borderId="79" xfId="12" applyFont="1" applyFill="1" applyBorder="1" applyAlignment="1" applyProtection="1"/>
    <xf numFmtId="0" fontId="43" fillId="3" borderId="3" xfId="12" applyFont="1" applyFill="1" applyBorder="1" applyAlignment="1" applyProtection="1"/>
    <xf numFmtId="0" fontId="23" fillId="3" borderId="47" xfId="0" applyFont="1" applyFill="1" applyBorder="1"/>
    <xf numFmtId="0" fontId="43" fillId="0" borderId="41" xfId="12" applyFont="1" applyFill="1" applyBorder="1"/>
    <xf numFmtId="0" fontId="43" fillId="0" borderId="7" xfId="12" applyFont="1" applyBorder="1"/>
    <xf numFmtId="0" fontId="43" fillId="19" borderId="11" xfId="12" applyFont="1" applyFill="1" applyBorder="1"/>
    <xf numFmtId="0" fontId="43" fillId="0" borderId="0" xfId="12" applyFont="1" applyAlignment="1">
      <alignment vertical="top"/>
    </xf>
    <xf numFmtId="164" fontId="0" fillId="3" borderId="38" xfId="0" applyNumberFormat="1" applyFill="1" applyBorder="1" applyProtection="1">
      <protection locked="0"/>
    </xf>
    <xf numFmtId="0" fontId="0" fillId="3" borderId="46" xfId="0" applyFill="1" applyBorder="1" applyProtection="1">
      <protection locked="0"/>
    </xf>
    <xf numFmtId="0" fontId="0" fillId="3" borderId="81" xfId="0" applyFill="1" applyBorder="1" applyProtection="1">
      <protection locked="0"/>
    </xf>
    <xf numFmtId="0" fontId="63" fillId="3" borderId="42" xfId="0" quotePrefix="1" applyFont="1" applyFill="1" applyBorder="1" applyProtection="1">
      <protection locked="0"/>
    </xf>
    <xf numFmtId="0" fontId="63" fillId="3" borderId="42" xfId="0" applyFont="1" applyFill="1" applyBorder="1" applyProtection="1">
      <protection locked="0"/>
    </xf>
    <xf numFmtId="0" fontId="26" fillId="0" borderId="39" xfId="0" applyFont="1" applyBorder="1"/>
    <xf numFmtId="168" fontId="0" fillId="3" borderId="0" xfId="0" applyNumberFormat="1" applyFill="1" applyProtection="1">
      <protection locked="0"/>
    </xf>
    <xf numFmtId="0" fontId="0" fillId="0" borderId="82" xfId="0" applyBorder="1"/>
    <xf numFmtId="0" fontId="0" fillId="0" borderId="83" xfId="0" applyBorder="1"/>
    <xf numFmtId="2" fontId="60" fillId="27" borderId="84" xfId="0" applyNumberFormat="1" applyFont="1" applyFill="1" applyBorder="1"/>
    <xf numFmtId="2" fontId="60" fillId="27" borderId="85" xfId="0" applyNumberFormat="1" applyFont="1" applyFill="1" applyBorder="1"/>
    <xf numFmtId="1" fontId="60" fillId="27" borderId="34" xfId="0" applyNumberFormat="1" applyFont="1" applyFill="1" applyBorder="1"/>
    <xf numFmtId="0" fontId="1" fillId="0" borderId="42" xfId="0" applyFont="1" applyBorder="1" applyAlignment="1">
      <alignment vertical="top"/>
    </xf>
    <xf numFmtId="0" fontId="72" fillId="0" borderId="0" xfId="12" applyFill="1" applyBorder="1" applyAlignment="1" applyProtection="1"/>
    <xf numFmtId="0" fontId="63" fillId="19" borderId="2" xfId="0" applyFont="1" applyFill="1" applyBorder="1"/>
    <xf numFmtId="0" fontId="10" fillId="19" borderId="36" xfId="3" applyFont="1" applyFill="1" applyBorder="1" applyAlignment="1">
      <alignment vertical="top"/>
    </xf>
    <xf numFmtId="0" fontId="10" fillId="19" borderId="48" xfId="3" applyFont="1" applyFill="1" applyBorder="1" applyAlignment="1">
      <alignment vertical="top"/>
    </xf>
    <xf numFmtId="2" fontId="49" fillId="19" borderId="0" xfId="0" applyNumberFormat="1" applyFont="1" applyFill="1"/>
    <xf numFmtId="2" fontId="49" fillId="0" borderId="0" xfId="0" applyNumberFormat="1" applyFont="1"/>
    <xf numFmtId="0" fontId="49" fillId="0" borderId="0" xfId="0" applyFont="1"/>
    <xf numFmtId="0" fontId="48" fillId="0" borderId="0" xfId="0" applyFont="1"/>
    <xf numFmtId="0" fontId="61" fillId="0" borderId="0" xfId="0" applyFont="1" applyAlignment="1">
      <alignment horizontal="center" vertical="center" wrapText="1"/>
    </xf>
    <xf numFmtId="0" fontId="61" fillId="0" borderId="0" xfId="0" applyFont="1"/>
    <xf numFmtId="0" fontId="1" fillId="0" borderId="0" xfId="0" applyFont="1" applyAlignment="1">
      <alignment wrapText="1"/>
    </xf>
    <xf numFmtId="0" fontId="49" fillId="19" borderId="0" xfId="0" applyFont="1" applyFill="1"/>
    <xf numFmtId="0" fontId="1" fillId="0" borderId="0" xfId="0" quotePrefix="1" applyFont="1"/>
    <xf numFmtId="0" fontId="48" fillId="0" borderId="0" xfId="0" applyFont="1" applyAlignment="1">
      <alignment horizontal="center" vertical="center" wrapText="1"/>
    </xf>
    <xf numFmtId="0" fontId="50" fillId="0" borderId="0" xfId="0" applyFont="1" applyAlignment="1">
      <alignment horizontal="center" vertical="center" wrapText="1"/>
    </xf>
    <xf numFmtId="0" fontId="35" fillId="0" borderId="0" xfId="0" applyFont="1"/>
    <xf numFmtId="11" fontId="0" fillId="3" borderId="46" xfId="0" applyNumberFormat="1" applyFill="1" applyBorder="1"/>
    <xf numFmtId="167" fontId="0" fillId="28" borderId="47" xfId="0" applyNumberFormat="1" applyFill="1" applyBorder="1"/>
    <xf numFmtId="0" fontId="0" fillId="19" borderId="36" xfId="0" applyFill="1" applyBorder="1"/>
    <xf numFmtId="2" fontId="0" fillId="28" borderId="71" xfId="0" applyNumberFormat="1" applyFill="1" applyBorder="1"/>
    <xf numFmtId="164" fontId="0" fillId="28" borderId="71" xfId="0" applyNumberFormat="1" applyFill="1" applyBorder="1"/>
    <xf numFmtId="11" fontId="0" fillId="28" borderId="42" xfId="0" applyNumberFormat="1" applyFill="1" applyBorder="1"/>
    <xf numFmtId="1" fontId="0" fillId="27" borderId="38" xfId="0" applyNumberFormat="1" applyFill="1" applyBorder="1"/>
    <xf numFmtId="0" fontId="0" fillId="19" borderId="41" xfId="0" applyFill="1" applyBorder="1"/>
    <xf numFmtId="0" fontId="0" fillId="19" borderId="47" xfId="0" applyFill="1" applyBorder="1"/>
    <xf numFmtId="0" fontId="0" fillId="19" borderId="39" xfId="0" applyFill="1" applyBorder="1"/>
    <xf numFmtId="0" fontId="77" fillId="19" borderId="0" xfId="0" applyFont="1" applyFill="1" applyAlignment="1">
      <alignment horizontal="left"/>
    </xf>
    <xf numFmtId="0" fontId="63" fillId="19" borderId="0" xfId="0" applyFont="1" applyFill="1" applyAlignment="1">
      <alignment horizontal="left"/>
    </xf>
    <xf numFmtId="0" fontId="63" fillId="19" borderId="36" xfId="0" applyFont="1" applyFill="1" applyBorder="1" applyAlignment="1">
      <alignment horizontal="left"/>
    </xf>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0" fontId="0" fillId="19" borderId="39" xfId="0" applyFill="1" applyBorder="1" applyAlignment="1">
      <alignment horizontal="left"/>
    </xf>
    <xf numFmtId="0" fontId="0" fillId="19" borderId="36" xfId="0" applyFill="1" applyBorder="1" applyAlignment="1">
      <alignment horizontal="left"/>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0" fontId="0" fillId="19" borderId="78" xfId="0" applyFill="1" applyBorder="1" applyAlignment="1">
      <alignment horizontal="left"/>
    </xf>
    <xf numFmtId="0" fontId="0" fillId="19" borderId="81" xfId="0" applyFill="1" applyBorder="1" applyAlignment="1">
      <alignment horizontal="left"/>
    </xf>
    <xf numFmtId="0" fontId="0" fillId="19" borderId="80" xfId="0" applyFill="1" applyBorder="1" applyAlignment="1">
      <alignment horizontal="left"/>
    </xf>
    <xf numFmtId="0" fontId="0" fillId="19" borderId="42" xfId="0" applyFill="1" applyBorder="1"/>
    <xf numFmtId="0" fontId="0" fillId="19" borderId="37" xfId="0" applyFill="1" applyBorder="1"/>
    <xf numFmtId="0" fontId="1" fillId="19" borderId="42" xfId="0" applyFont="1" applyFill="1" applyBorder="1"/>
    <xf numFmtId="0" fontId="1" fillId="19" borderId="36" xfId="0" applyFont="1" applyFill="1" applyBorder="1"/>
    <xf numFmtId="0" fontId="0" fillId="19" borderId="49" xfId="0" applyFill="1" applyBorder="1"/>
    <xf numFmtId="1" fontId="0" fillId="27" borderId="34" xfId="0" applyNumberFormat="1" applyFill="1" applyBorder="1"/>
    <xf numFmtId="0" fontId="5" fillId="19" borderId="16" xfId="0" applyFont="1" applyFill="1" applyBorder="1" applyAlignment="1">
      <alignment horizontal="center"/>
    </xf>
    <xf numFmtId="0" fontId="5" fillId="19" borderId="17" xfId="0" applyFont="1" applyFill="1" applyBorder="1" applyAlignment="1">
      <alignment horizontal="center"/>
    </xf>
    <xf numFmtId="0" fontId="5" fillId="19" borderId="18" xfId="0" applyFont="1" applyFill="1" applyBorder="1" applyAlignment="1">
      <alignment horizontal="center"/>
    </xf>
    <xf numFmtId="0" fontId="1" fillId="19" borderId="3" xfId="0" applyFont="1" applyFill="1" applyBorder="1" applyAlignment="1">
      <alignment horizontal="left" wrapText="1"/>
    </xf>
    <xf numFmtId="0" fontId="0" fillId="19" borderId="0" xfId="0" applyFill="1" applyAlignment="1">
      <alignment horizontal="left" wrapText="1"/>
    </xf>
    <xf numFmtId="0" fontId="0" fillId="19" borderId="4" xfId="0" applyFill="1" applyBorder="1" applyAlignment="1">
      <alignment horizontal="left" wrapText="1"/>
    </xf>
    <xf numFmtId="0" fontId="0" fillId="19" borderId="3" xfId="0" applyFill="1" applyBorder="1" applyAlignment="1">
      <alignment horizontal="left"/>
    </xf>
    <xf numFmtId="0" fontId="0" fillId="19" borderId="0" xfId="0" applyFill="1" applyAlignment="1">
      <alignment horizontal="left"/>
    </xf>
    <xf numFmtId="0" fontId="0" fillId="19" borderId="4" xfId="0" applyFill="1" applyBorder="1" applyAlignment="1">
      <alignment horizontal="left"/>
    </xf>
    <xf numFmtId="0" fontId="0" fillId="19" borderId="3" xfId="0" applyFill="1" applyBorder="1" applyAlignment="1">
      <alignment horizontal="left" wrapText="1"/>
    </xf>
    <xf numFmtId="0" fontId="6" fillId="0" borderId="0" xfId="12" applyFont="1" applyAlignment="1" applyProtection="1">
      <alignment horizontal="left"/>
    </xf>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6" fillId="0" borderId="1" xfId="12" applyFont="1" applyFill="1" applyBorder="1" applyAlignment="1" applyProtection="1">
      <alignment horizontal="left"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6" fillId="0" borderId="0" xfId="12" applyFont="1" applyFill="1" applyAlignment="1" applyProtection="1"/>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6" fillId="0" borderId="1" xfId="12" applyFont="1" applyBorder="1" applyAlignment="1" applyProtection="1">
      <alignment horizontal="left" wrapText="1"/>
    </xf>
    <xf numFmtId="0" fontId="0" fillId="0" borderId="1" xfId="0" applyBorder="1" applyAlignment="1">
      <alignment horizontal="center"/>
    </xf>
    <xf numFmtId="0" fontId="0" fillId="0" borderId="15" xfId="0" applyBorder="1" applyAlignment="1">
      <alignment horizontal="center"/>
    </xf>
    <xf numFmtId="0" fontId="1" fillId="0" borderId="15" xfId="0" applyFont="1" applyBorder="1" applyAlignment="1">
      <alignment horizontal="center"/>
    </xf>
    <xf numFmtId="0" fontId="3"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5" fillId="0" borderId="0" xfId="0" applyFont="1" applyAlignment="1">
      <alignment horizontal="center" wrapText="1"/>
    </xf>
    <xf numFmtId="0" fontId="1" fillId="6" borderId="1" xfId="0" applyFont="1" applyFill="1" applyBorder="1" applyAlignment="1">
      <alignment horizontal="center"/>
    </xf>
    <xf numFmtId="0" fontId="1" fillId="6" borderId="1" xfId="0" applyFont="1" applyFill="1" applyBorder="1"/>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textRotation="90" wrapText="1"/>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2" fillId="0" borderId="1" xfId="0" applyFont="1" applyBorder="1" applyAlignment="1">
      <alignment horizontal="center" textRotation="90" wrapText="1"/>
    </xf>
    <xf numFmtId="0" fontId="1" fillId="0" borderId="10" xfId="0" applyFont="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textRotation="90" wrapText="1"/>
    </xf>
    <xf numFmtId="0" fontId="1" fillId="0" borderId="1" xfId="0" applyFont="1" applyBorder="1" applyAlignment="1">
      <alignment horizontal="center" textRotation="90"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5"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0" borderId="1" xfId="0" applyFont="1" applyBorder="1" applyAlignment="1">
      <alignment horizontal="center" vertical="center"/>
    </xf>
    <xf numFmtId="0" fontId="6" fillId="0" borderId="15" xfId="12" applyFont="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6" borderId="11" xfId="0" applyFont="1" applyFill="1" applyBorder="1" applyAlignment="1">
      <alignment horizontal="center"/>
    </xf>
    <xf numFmtId="0" fontId="1" fillId="6" borderId="12" xfId="0" applyFont="1" applyFill="1" applyBorder="1" applyAlignment="1">
      <alignment horizontal="center"/>
    </xf>
    <xf numFmtId="0" fontId="0" fillId="4" borderId="1" xfId="0" applyFill="1" applyBorder="1" applyAlignment="1">
      <alignment horizontal="center"/>
    </xf>
    <xf numFmtId="0" fontId="0" fillId="4" borderId="1" xfId="0" applyFill="1" applyBorder="1"/>
    <xf numFmtId="17" fontId="1" fillId="0" borderId="1" xfId="0" applyNumberFormat="1" applyFont="1" applyBorder="1" applyAlignment="1">
      <alignment horizontal="center"/>
    </xf>
    <xf numFmtId="0" fontId="0" fillId="0" borderId="40" xfId="0" applyBorder="1" applyAlignment="1">
      <alignment horizontal="center"/>
    </xf>
    <xf numFmtId="0" fontId="0" fillId="0" borderId="49" xfId="0" applyBorder="1" applyAlignment="1">
      <alignment horizontal="center"/>
    </xf>
    <xf numFmtId="0" fontId="3" fillId="0" borderId="34" xfId="0" applyFont="1" applyBorder="1" applyAlignment="1">
      <alignment horizontal="left" vertical="center" wrapText="1"/>
    </xf>
    <xf numFmtId="0" fontId="3" fillId="0" borderId="45" xfId="0" applyFont="1" applyBorder="1" applyAlignment="1">
      <alignment horizontal="left" vertical="center" wrapText="1"/>
    </xf>
    <xf numFmtId="0" fontId="0" fillId="0" borderId="71" xfId="0" applyBorder="1" applyAlignment="1">
      <alignment horizontal="center" vertical="center"/>
    </xf>
    <xf numFmtId="0" fontId="0" fillId="0" borderId="39" xfId="0" applyBorder="1" applyAlignment="1">
      <alignment horizontal="center"/>
    </xf>
    <xf numFmtId="0" fontId="0" fillId="0" borderId="36" xfId="0" applyBorder="1" applyAlignment="1">
      <alignment horizontal="center"/>
    </xf>
    <xf numFmtId="0" fontId="0" fillId="0" borderId="34" xfId="0" applyBorder="1" applyAlignment="1">
      <alignment horizontal="center" wrapText="1"/>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35" xfId="0" applyFont="1" applyBorder="1" applyAlignment="1">
      <alignment horizontal="left" vertical="center" wrapText="1"/>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3" fillId="0" borderId="0" xfId="0" applyFont="1" applyAlignment="1">
      <alignment horizontal="left" wrapText="1"/>
    </xf>
    <xf numFmtId="0" fontId="0" fillId="8" borderId="0" xfId="0" applyFill="1" applyAlignment="1">
      <alignment horizontal="center"/>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0" fontId="10" fillId="0" borderId="0" xfId="0" applyFont="1" applyAlignment="1">
      <alignment horizontal="right" wrapText="1"/>
    </xf>
    <xf numFmtId="0" fontId="10" fillId="0" borderId="3" xfId="0" applyFont="1" applyBorder="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4" fillId="0" borderId="0" xfId="0" applyNumberFormat="1" applyFont="1" applyAlignment="1">
      <alignment horizontal="center" wrapText="1"/>
    </xf>
    <xf numFmtId="0" fontId="10" fillId="0" borderId="3" xfId="0" quotePrefix="1" applyFont="1" applyBorder="1" applyAlignment="1">
      <alignment horizontal="right"/>
    </xf>
    <xf numFmtId="0" fontId="10" fillId="0" borderId="0" xfId="0" quotePrefix="1" applyFont="1" applyAlignment="1">
      <alignment horizontal="right"/>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48" fillId="0" borderId="0" xfId="0" applyFont="1" applyAlignment="1">
      <alignment horizontal="center"/>
    </xf>
    <xf numFmtId="0" fontId="38" fillId="0" borderId="0" xfId="0" applyFont="1" applyAlignment="1">
      <alignment horizontal="center"/>
    </xf>
    <xf numFmtId="167" fontId="0" fillId="0" borderId="2" xfId="0" applyNumberFormat="1" applyBorder="1" applyAlignment="1">
      <alignment horizontal="center"/>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3" fillId="0" borderId="11" xfId="0" applyFont="1" applyBorder="1" applyAlignment="1">
      <alignment horizontal="center"/>
    </xf>
    <xf numFmtId="0" fontId="3" fillId="0" borderId="12" xfId="0" applyFont="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0" fillId="0" borderId="4" xfId="0" applyFont="1" applyBorder="1" applyAlignment="1">
      <alignment horizontal="right" wrapText="1"/>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0" fontId="4" fillId="0" borderId="3" xfId="3" applyBorder="1" applyAlignment="1">
      <alignment horizontal="right"/>
    </xf>
    <xf numFmtId="0" fontId="4" fillId="0" borderId="0" xfId="3" applyAlignment="1">
      <alignment horizontal="right"/>
    </xf>
    <xf numFmtId="0" fontId="4" fillId="0" borderId="4" xfId="3" applyBorder="1" applyAlignment="1">
      <alignment horizontal="right"/>
    </xf>
    <xf numFmtId="164" fontId="10" fillId="4" borderId="11" xfId="3" applyNumberFormat="1" applyFont="1" applyFill="1" applyBorder="1" applyAlignment="1">
      <alignment horizontal="center"/>
    </xf>
    <xf numFmtId="164" fontId="10" fillId="4" borderId="12" xfId="3" applyNumberFormat="1" applyFont="1" applyFill="1" applyBorder="1" applyAlignment="1">
      <alignment horizontal="center"/>
    </xf>
    <xf numFmtId="0" fontId="3" fillId="0" borderId="0" xfId="3" applyFont="1" applyAlignment="1">
      <alignment horizontal="center"/>
    </xf>
    <xf numFmtId="0" fontId="10" fillId="0" borderId="3" xfId="3" applyFont="1" applyBorder="1" applyAlignment="1">
      <alignment horizontal="right" wrapText="1"/>
    </xf>
    <xf numFmtId="0" fontId="10" fillId="0" borderId="0" xfId="3" applyFont="1" applyAlignment="1">
      <alignment horizontal="right" wrapText="1"/>
    </xf>
    <xf numFmtId="0" fontId="10" fillId="0" borderId="4" xfId="3" applyFont="1" applyBorder="1" applyAlignment="1">
      <alignment horizontal="right" wrapText="1"/>
    </xf>
    <xf numFmtId="0" fontId="10" fillId="3" borderId="11" xfId="3" applyFont="1" applyFill="1" applyBorder="1" applyAlignment="1" applyProtection="1">
      <alignment horizontal="center" wrapText="1"/>
      <protection locked="0"/>
    </xf>
    <xf numFmtId="0" fontId="10" fillId="3" borderId="12" xfId="3" applyFont="1" applyFill="1" applyBorder="1" applyAlignment="1" applyProtection="1">
      <alignment horizontal="center" wrapText="1"/>
      <protection locked="0"/>
    </xf>
    <xf numFmtId="0" fontId="10" fillId="0" borderId="0" xfId="3" applyFont="1" applyAlignment="1">
      <alignment horizontal="right"/>
    </xf>
    <xf numFmtId="0" fontId="10" fillId="0" borderId="4" xfId="3" applyFont="1" applyBorder="1" applyAlignment="1">
      <alignment horizontal="right"/>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3" applyFont="1" applyBorder="1" applyAlignment="1">
      <alignment horizontal="center"/>
    </xf>
    <xf numFmtId="0" fontId="3" fillId="0" borderId="10" xfId="3" applyFont="1" applyBorder="1" applyAlignment="1">
      <alignment horizontal="center"/>
    </xf>
    <xf numFmtId="0" fontId="3" fillId="0" borderId="12" xfId="3" applyFont="1" applyBorder="1" applyAlignment="1">
      <alignment horizontal="center"/>
    </xf>
    <xf numFmtId="0" fontId="5" fillId="3" borderId="11" xfId="3" applyFont="1" applyFill="1" applyBorder="1" applyAlignment="1" applyProtection="1">
      <alignment horizontal="left"/>
      <protection locked="0"/>
    </xf>
    <xf numFmtId="0" fontId="5" fillId="3" borderId="12" xfId="3" applyFont="1" applyFill="1" applyBorder="1" applyAlignment="1" applyProtection="1">
      <alignment horizontal="left"/>
      <protection locked="0"/>
    </xf>
    <xf numFmtId="0" fontId="3" fillId="0" borderId="1" xfId="11" applyFont="1" applyBorder="1" applyAlignment="1">
      <alignment horizontal="center"/>
    </xf>
    <xf numFmtId="0" fontId="1" fillId="0" borderId="3" xfId="11" applyBorder="1" applyAlignment="1">
      <alignment horizontal="center" vertical="center" textRotation="180"/>
    </xf>
    <xf numFmtId="0" fontId="1" fillId="0" borderId="6" xfId="11" applyBorder="1" applyAlignment="1">
      <alignment horizontal="center" vertical="center" textRotation="180"/>
    </xf>
    <xf numFmtId="0" fontId="1" fillId="0" borderId="4" xfId="11" applyBorder="1" applyAlignment="1">
      <alignment horizontal="center" vertical="center" textRotation="180"/>
    </xf>
    <xf numFmtId="0" fontId="1" fillId="0" borderId="9" xfId="11" applyBorder="1" applyAlignment="1">
      <alignment horizontal="center" vertical="center" textRotation="180"/>
    </xf>
    <xf numFmtId="0" fontId="1" fillId="0" borderId="2" xfId="11" applyBorder="1" applyAlignment="1">
      <alignment horizontal="center" vertical="center"/>
    </xf>
    <xf numFmtId="0" fontId="1" fillId="0" borderId="0" xfId="11" applyAlignment="1">
      <alignment horizontal="center" vertical="center"/>
    </xf>
    <xf numFmtId="0" fontId="1" fillId="3" borderId="11" xfId="11" applyFill="1" applyBorder="1" applyAlignment="1" applyProtection="1">
      <alignment horizontal="center" vertical="center"/>
      <protection locked="0"/>
    </xf>
    <xf numFmtId="0" fontId="1" fillId="3" borderId="10" xfId="11" applyFill="1" applyBorder="1" applyAlignment="1" applyProtection="1">
      <alignment horizontal="center" vertical="center"/>
      <protection locked="0"/>
    </xf>
    <xf numFmtId="0" fontId="1" fillId="3" borderId="12" xfId="11" applyFill="1" applyBorder="1" applyAlignment="1" applyProtection="1">
      <alignment horizontal="center" vertical="center"/>
      <protection locked="0"/>
    </xf>
    <xf numFmtId="1" fontId="41" fillId="0" borderId="0" xfId="0" applyNumberFormat="1" applyFont="1" applyAlignment="1">
      <alignment horizontal="center" vertical="center" wrapText="1"/>
    </xf>
    <xf numFmtId="0" fontId="0" fillId="0" borderId="34" xfId="0" applyBorder="1" applyAlignment="1">
      <alignment horizontal="left" wrapText="1"/>
    </xf>
    <xf numFmtId="0" fontId="0" fillId="0" borderId="71" xfId="0" applyBorder="1" applyAlignment="1">
      <alignment horizontal="left" wrapText="1"/>
    </xf>
    <xf numFmtId="0" fontId="3" fillId="0" borderId="10" xfId="0" applyFont="1" applyBorder="1" applyAlignment="1">
      <alignment horizontal="center"/>
    </xf>
    <xf numFmtId="0" fontId="5" fillId="3" borderId="1" xfId="0" applyFont="1" applyFill="1" applyBorder="1" applyAlignment="1" applyProtection="1">
      <alignment horizontal="left"/>
      <protection locked="0"/>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0" fillId="0" borderId="41" xfId="0" applyBorder="1" applyAlignment="1">
      <alignment horizontal="left"/>
    </xf>
    <xf numFmtId="0" fontId="0" fillId="0" borderId="47" xfId="0" applyBorder="1" applyAlignment="1">
      <alignment horizontal="left"/>
    </xf>
    <xf numFmtId="0" fontId="0" fillId="0" borderId="37" xfId="0" applyBorder="1" applyAlignment="1">
      <alignment horizontal="left"/>
    </xf>
    <xf numFmtId="0" fontId="0" fillId="19" borderId="71" xfId="0" applyFill="1" applyBorder="1" applyAlignment="1">
      <alignment horizontal="left"/>
    </xf>
    <xf numFmtId="164" fontId="4" fillId="20" borderId="11" xfId="8" applyNumberFormat="1" applyFill="1" applyBorder="1"/>
    <xf numFmtId="164" fontId="4" fillId="20" borderId="12" xfId="8" applyNumberFormat="1" applyFill="1" applyBorder="1"/>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164" fontId="0" fillId="20" borderId="11" xfId="0" applyNumberFormat="1" applyFill="1" applyBorder="1"/>
    <xf numFmtId="164" fontId="0" fillId="20" borderId="12" xfId="0" applyNumberFormat="1" applyFill="1" applyBorder="1"/>
    <xf numFmtId="0" fontId="0" fillId="3" borderId="34" xfId="0" applyFill="1" applyBorder="1" applyAlignment="1">
      <alignment horizontal="center"/>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11" fontId="3" fillId="0" borderId="9" xfId="0" applyNumberFormat="1" applyFont="1"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12" xfId="0"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0" fontId="3" fillId="0" borderId="47" xfId="0" applyFont="1" applyBorder="1" applyAlignment="1">
      <alignment horizontal="left" wrapText="1"/>
    </xf>
    <xf numFmtId="0" fontId="3" fillId="0" borderId="42" xfId="0" applyFont="1" applyBorder="1" applyAlignment="1">
      <alignment horizontal="left"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43" xfId="0" applyFont="1" applyBorder="1"/>
    <xf numFmtId="0" fontId="3" fillId="0" borderId="44" xfId="0" applyFont="1" applyBorder="1"/>
    <xf numFmtId="0" fontId="3" fillId="0" borderId="65" xfId="0" applyFont="1" applyBorder="1"/>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0" fontId="41" fillId="0" borderId="41" xfId="0" applyFont="1" applyBorder="1" applyAlignment="1">
      <alignment horizontal="center" vertical="center" wrapText="1"/>
    </xf>
    <xf numFmtId="0" fontId="41" fillId="0" borderId="47" xfId="0" applyFont="1" applyBorder="1" applyAlignment="1">
      <alignment horizontal="center" vertical="center" wrapText="1"/>
    </xf>
    <xf numFmtId="0" fontId="41" fillId="0" borderId="37" xfId="0" applyFont="1" applyBorder="1" applyAlignment="1">
      <alignment horizontal="center" vertical="center" wrapText="1"/>
    </xf>
    <xf numFmtId="0" fontId="41" fillId="0" borderId="39" xfId="0" applyFont="1" applyBorder="1" applyAlignment="1">
      <alignment horizontal="center" vertical="center" wrapText="1"/>
    </xf>
    <xf numFmtId="0" fontId="41" fillId="0" borderId="0" xfId="0" applyFont="1" applyAlignment="1">
      <alignment horizontal="center" vertical="center" wrapText="1"/>
    </xf>
    <xf numFmtId="0" fontId="41" fillId="0" borderId="36" xfId="0" applyFont="1" applyBorder="1" applyAlignment="1">
      <alignment horizontal="center" vertical="center" wrapText="1"/>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28" fillId="0" borderId="34" xfId="7" applyFont="1" applyBorder="1" applyAlignment="1">
      <alignment horizontal="center" vertical="center" wrapText="1"/>
    </xf>
    <xf numFmtId="0" fontId="0" fillId="8" borderId="34" xfId="7" applyFont="1" applyFill="1" applyBorder="1" applyAlignment="1">
      <alignment horizontal="center" vertical="center" wrapText="1"/>
    </xf>
    <xf numFmtId="11" fontId="3" fillId="8" borderId="0" xfId="7" applyNumberFormat="1" applyFont="1" applyFill="1" applyAlignment="1">
      <alignment horizontal="center"/>
    </xf>
    <xf numFmtId="0" fontId="3" fillId="0" borderId="5" xfId="7" applyFont="1" applyBorder="1" applyAlignment="1">
      <alignment horizontal="left" vertical="center" wrapText="1"/>
    </xf>
    <xf numFmtId="0" fontId="3" fillId="0" borderId="2" xfId="7" applyFont="1" applyBorder="1" applyAlignment="1">
      <alignment horizontal="left" vertical="center" wrapText="1"/>
    </xf>
    <xf numFmtId="0" fontId="3" fillId="0" borderId="6" xfId="7" applyFont="1" applyBorder="1" applyAlignment="1">
      <alignment horizontal="left" vertical="center" wrapText="1"/>
    </xf>
    <xf numFmtId="0" fontId="3" fillId="0" borderId="7" xfId="7" applyFont="1" applyBorder="1" applyAlignment="1">
      <alignment horizontal="left" vertical="center" wrapText="1"/>
    </xf>
    <xf numFmtId="0" fontId="3" fillId="0" borderId="8" xfId="7" applyFont="1" applyBorder="1" applyAlignment="1">
      <alignment horizontal="left" vertical="center" wrapText="1"/>
    </xf>
    <xf numFmtId="0" fontId="3" fillId="0" borderId="9" xfId="7" applyFont="1" applyBorder="1" applyAlignment="1">
      <alignment horizontal="left" vertical="center" wrapText="1"/>
    </xf>
    <xf numFmtId="0" fontId="1" fillId="3" borderId="13" xfId="7" applyFont="1" applyFill="1" applyBorder="1" applyAlignment="1" applyProtection="1">
      <alignment horizontal="left" vertical="top" wrapText="1"/>
      <protection locked="0"/>
    </xf>
    <xf numFmtId="0" fontId="4" fillId="3" borderId="13" xfId="7" applyFill="1" applyBorder="1" applyAlignment="1" applyProtection="1">
      <alignment horizontal="left" vertical="top" wrapText="1"/>
      <protection locked="0"/>
    </xf>
    <xf numFmtId="0" fontId="4" fillId="3" borderId="15" xfId="7" applyFill="1" applyBorder="1" applyAlignment="1" applyProtection="1">
      <alignment horizontal="left" vertical="top" wrapText="1"/>
      <protection locked="0"/>
    </xf>
    <xf numFmtId="164" fontId="4" fillId="0" borderId="14" xfId="7" applyNumberFormat="1" applyBorder="1" applyAlignment="1">
      <alignment horizontal="center"/>
    </xf>
    <xf numFmtId="164" fontId="4" fillId="0" borderId="13" xfId="7" applyNumberFormat="1" applyBorder="1" applyAlignment="1">
      <alignment horizontal="center"/>
    </xf>
    <xf numFmtId="164" fontId="4" fillId="0" borderId="15" xfId="7" applyNumberFormat="1" applyBorder="1" applyAlignment="1">
      <alignment horizontal="center"/>
    </xf>
    <xf numFmtId="0" fontId="3" fillId="0" borderId="11" xfId="7" applyFont="1" applyBorder="1" applyAlignment="1">
      <alignment horizontal="left"/>
    </xf>
    <xf numFmtId="0" fontId="3" fillId="0" borderId="12" xfId="7" applyFont="1" applyBorder="1" applyAlignment="1">
      <alignment horizontal="left"/>
    </xf>
    <xf numFmtId="0" fontId="4" fillId="8" borderId="11" xfId="7" applyFill="1" applyBorder="1" applyAlignment="1">
      <alignment horizontal="center"/>
    </xf>
    <xf numFmtId="0" fontId="4" fillId="8" borderId="10" xfId="7" applyFill="1" applyBorder="1" applyAlignment="1">
      <alignment horizontal="center"/>
    </xf>
    <xf numFmtId="0" fontId="4" fillId="8" borderId="12" xfId="7" applyFill="1" applyBorder="1" applyAlignment="1">
      <alignment horizontal="center"/>
    </xf>
    <xf numFmtId="164" fontId="4" fillId="0" borderId="6" xfId="7" applyNumberFormat="1" applyBorder="1" applyAlignment="1">
      <alignment horizontal="center"/>
    </xf>
    <xf numFmtId="164" fontId="4" fillId="0" borderId="4" xfId="7" applyNumberFormat="1" applyBorder="1" applyAlignment="1">
      <alignment horizontal="center"/>
    </xf>
    <xf numFmtId="164" fontId="4" fillId="0" borderId="53" xfId="7" applyNumberFormat="1" applyBorder="1" applyAlignment="1">
      <alignment horizontal="center"/>
    </xf>
    <xf numFmtId="0" fontId="4" fillId="3" borderId="54" xfId="7" applyFill="1" applyBorder="1" applyAlignment="1" applyProtection="1">
      <alignment horizontal="left" vertical="top" wrapText="1"/>
      <protection locked="0"/>
    </xf>
    <xf numFmtId="0" fontId="4" fillId="3" borderId="55" xfId="7" applyFill="1" applyBorder="1" applyAlignment="1" applyProtection="1">
      <alignment horizontal="left" vertical="top" wrapText="1"/>
      <protection locked="0"/>
    </xf>
    <xf numFmtId="0" fontId="4" fillId="8" borderId="13" xfId="7" applyFill="1" applyBorder="1" applyAlignment="1">
      <alignment horizontal="center"/>
    </xf>
    <xf numFmtId="0" fontId="4" fillId="8" borderId="15" xfId="7" applyFill="1" applyBorder="1" applyAlignment="1">
      <alignment horizontal="center"/>
    </xf>
    <xf numFmtId="11" fontId="4" fillId="0" borderId="51" xfId="7" applyNumberFormat="1" applyBorder="1" applyAlignment="1">
      <alignment horizontal="center"/>
    </xf>
    <xf numFmtId="11" fontId="4" fillId="0" borderId="13" xfId="7" applyNumberFormat="1" applyBorder="1" applyAlignment="1">
      <alignment horizontal="center"/>
    </xf>
    <xf numFmtId="11" fontId="4" fillId="0" borderId="52" xfId="7" applyNumberFormat="1" applyBorder="1" applyAlignment="1">
      <alignment horizontal="center"/>
    </xf>
    <xf numFmtId="0" fontId="35" fillId="3" borderId="2" xfId="0" applyFont="1" applyFill="1" applyBorder="1" applyAlignment="1" applyProtection="1">
      <alignment horizontal="center" wrapText="1"/>
      <protection locked="0"/>
    </xf>
    <xf numFmtId="0" fontId="35" fillId="3" borderId="56" xfId="0" applyFont="1" applyFill="1" applyBorder="1" applyAlignment="1" applyProtection="1">
      <alignment horizontal="center" wrapText="1"/>
      <protection locked="0"/>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5" xfId="0" applyFont="1" applyFill="1" applyBorder="1" applyAlignment="1" applyProtection="1">
      <alignment horizontal="left" wrapText="1"/>
      <protection locked="0"/>
    </xf>
    <xf numFmtId="0" fontId="41" fillId="3" borderId="2" xfId="0" applyFont="1" applyFill="1" applyBorder="1" applyAlignment="1" applyProtection="1">
      <alignment horizontal="left" wrapText="1"/>
      <protection locked="0"/>
    </xf>
    <xf numFmtId="0" fontId="41" fillId="3" borderId="6" xfId="0" applyFont="1" applyFill="1" applyBorder="1" applyAlignment="1" applyProtection="1">
      <alignment horizontal="left" wrapText="1"/>
      <protection locked="0"/>
    </xf>
    <xf numFmtId="0" fontId="41" fillId="3" borderId="7" xfId="0" applyFont="1" applyFill="1" applyBorder="1" applyAlignment="1" applyProtection="1">
      <alignment horizontal="left" wrapText="1"/>
      <protection locked="0"/>
    </xf>
    <xf numFmtId="0" fontId="41" fillId="3" borderId="8" xfId="0" applyFont="1" applyFill="1" applyBorder="1" applyAlignment="1" applyProtection="1">
      <alignment horizontal="left" wrapText="1"/>
      <protection locked="0"/>
    </xf>
    <xf numFmtId="0" fontId="41" fillId="3" borderId="9" xfId="0" applyFont="1" applyFill="1" applyBorder="1" applyAlignment="1" applyProtection="1">
      <alignment horizontal="left" wrapText="1"/>
      <protection locked="0"/>
    </xf>
    <xf numFmtId="0" fontId="1" fillId="19" borderId="5" xfId="0" applyFont="1" applyFill="1" applyBorder="1" applyAlignment="1">
      <alignment horizontal="center" vertical="center" wrapText="1"/>
    </xf>
    <xf numFmtId="0" fontId="1" fillId="19" borderId="2" xfId="0" applyFont="1" applyFill="1" applyBorder="1" applyAlignment="1">
      <alignment horizontal="center" vertical="center" wrapText="1"/>
    </xf>
    <xf numFmtId="0" fontId="1" fillId="19" borderId="6" xfId="0" applyFont="1" applyFill="1" applyBorder="1" applyAlignment="1">
      <alignment horizontal="center" vertical="center" wrapText="1"/>
    </xf>
    <xf numFmtId="0" fontId="1" fillId="19" borderId="7" xfId="0" applyFont="1" applyFill="1" applyBorder="1" applyAlignment="1">
      <alignment horizontal="center" vertical="center" wrapText="1"/>
    </xf>
    <xf numFmtId="0" fontId="1" fillId="19" borderId="8" xfId="0" applyFont="1" applyFill="1" applyBorder="1" applyAlignment="1">
      <alignment horizontal="center" vertical="center" wrapText="1"/>
    </xf>
    <xf numFmtId="0" fontId="1" fillId="19" borderId="9" xfId="0" applyFont="1" applyFill="1" applyBorder="1" applyAlignment="1">
      <alignment horizontal="center" vertical="center" wrapText="1"/>
    </xf>
    <xf numFmtId="0" fontId="0" fillId="0" borderId="9" xfId="0" applyBorder="1" applyAlignment="1">
      <alignment horizontal="center"/>
    </xf>
    <xf numFmtId="0" fontId="3" fillId="19" borderId="0" xfId="0" applyFont="1" applyFill="1" applyAlignment="1">
      <alignment horizontal="left" vertical="top"/>
    </xf>
    <xf numFmtId="0" fontId="3" fillId="19" borderId="4" xfId="0" applyFont="1" applyFill="1" applyBorder="1" applyAlignment="1">
      <alignment horizontal="left" vertical="top"/>
    </xf>
    <xf numFmtId="49" fontId="0" fillId="3" borderId="1" xfId="0" applyNumberFormat="1" applyFill="1" applyBorder="1" applyAlignment="1" applyProtection="1">
      <alignment horizontal="center" vertical="top" wrapText="1"/>
      <protection locked="0"/>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3" fillId="19" borderId="0" xfId="0" quotePrefix="1" applyFont="1" applyFill="1" applyAlignment="1">
      <alignment horizontal="left" vertical="top"/>
    </xf>
    <xf numFmtId="0" fontId="39" fillId="19" borderId="5" xfId="0" applyFont="1" applyFill="1" applyBorder="1" applyAlignment="1">
      <alignment horizontal="center" vertical="top" wrapText="1"/>
    </xf>
    <xf numFmtId="0" fontId="39" fillId="19" borderId="2" xfId="0" applyFont="1" applyFill="1" applyBorder="1" applyAlignment="1">
      <alignment horizontal="center" vertical="top" wrapText="1"/>
    </xf>
    <xf numFmtId="0" fontId="39" fillId="19" borderId="3" xfId="0" applyFont="1" applyFill="1" applyBorder="1" applyAlignment="1">
      <alignment horizontal="center" vertical="top" wrapText="1"/>
    </xf>
    <xf numFmtId="0" fontId="39" fillId="19" borderId="0" xfId="0" applyFont="1" applyFill="1" applyAlignment="1">
      <alignment horizontal="center" vertical="top" wrapText="1"/>
    </xf>
    <xf numFmtId="0" fontId="39" fillId="19" borderId="7" xfId="0" applyFont="1" applyFill="1" applyBorder="1" applyAlignment="1">
      <alignment horizontal="center" vertical="top" wrapText="1"/>
    </xf>
    <xf numFmtId="0" fontId="39" fillId="19" borderId="8" xfId="0" applyFont="1" applyFill="1" applyBorder="1" applyAlignment="1">
      <alignment horizontal="center" vertical="top" wrapText="1"/>
    </xf>
    <xf numFmtId="0" fontId="1" fillId="19" borderId="2" xfId="0" applyFont="1" applyFill="1" applyBorder="1" applyAlignment="1">
      <alignment horizontal="center" vertical="top" wrapText="1"/>
    </xf>
    <xf numFmtId="0" fontId="1" fillId="19" borderId="6" xfId="0" applyFont="1" applyFill="1" applyBorder="1" applyAlignment="1">
      <alignment horizontal="center" vertical="top" wrapText="1"/>
    </xf>
    <xf numFmtId="0" fontId="1" fillId="19" borderId="0" xfId="0" applyFont="1" applyFill="1" applyAlignment="1">
      <alignment horizontal="center" vertical="top" wrapText="1"/>
    </xf>
    <xf numFmtId="0" fontId="1" fillId="19" borderId="4" xfId="0" applyFont="1" applyFill="1" applyBorder="1" applyAlignment="1">
      <alignment horizontal="center" vertical="top" wrapText="1"/>
    </xf>
    <xf numFmtId="0" fontId="1" fillId="19" borderId="8" xfId="0" applyFont="1" applyFill="1" applyBorder="1" applyAlignment="1">
      <alignment horizontal="center" vertical="top" wrapText="1"/>
    </xf>
    <xf numFmtId="0" fontId="1" fillId="19" borderId="9" xfId="0" applyFont="1" applyFill="1" applyBorder="1" applyAlignment="1">
      <alignment horizontal="center" vertical="top" wrapText="1"/>
    </xf>
    <xf numFmtId="0" fontId="1" fillId="19" borderId="5" xfId="0" applyFont="1" applyFill="1" applyBorder="1" applyAlignment="1">
      <alignment horizontal="center" vertical="top" wrapText="1"/>
    </xf>
    <xf numFmtId="0" fontId="1" fillId="19" borderId="3" xfId="0" applyFont="1" applyFill="1" applyBorder="1" applyAlignment="1">
      <alignment horizontal="center" vertical="top" wrapText="1"/>
    </xf>
    <xf numFmtId="0" fontId="1" fillId="19" borderId="7" xfId="0" applyFont="1" applyFill="1" applyBorder="1" applyAlignment="1">
      <alignment horizontal="center" vertical="top" wrapText="1"/>
    </xf>
    <xf numFmtId="0" fontId="1" fillId="26" borderId="1" xfId="3" applyFont="1" applyFill="1" applyBorder="1" applyAlignment="1">
      <alignment horizontal="center"/>
    </xf>
    <xf numFmtId="0" fontId="4" fillId="26" borderId="1" xfId="3" applyFill="1" applyBorder="1" applyAlignment="1">
      <alignment horizontal="center"/>
    </xf>
    <xf numFmtId="0" fontId="1" fillId="25" borderId="1" xfId="0" applyFont="1" applyFill="1" applyBorder="1" applyAlignment="1">
      <alignment horizontal="center"/>
    </xf>
    <xf numFmtId="0" fontId="0" fillId="25" borderId="1" xfId="0" applyFill="1" applyBorder="1" applyAlignment="1">
      <alignment horizontal="center"/>
    </xf>
    <xf numFmtId="0" fontId="1" fillId="25" borderId="11" xfId="0" applyFont="1" applyFill="1" applyBorder="1" applyAlignment="1">
      <alignment horizontal="center"/>
    </xf>
    <xf numFmtId="0" fontId="1" fillId="25" borderId="10" xfId="0" applyFont="1" applyFill="1" applyBorder="1" applyAlignment="1">
      <alignment horizontal="center"/>
    </xf>
    <xf numFmtId="0" fontId="1" fillId="25" borderId="12" xfId="0" applyFont="1" applyFill="1" applyBorder="1" applyAlignment="1">
      <alignment horizontal="center"/>
    </xf>
    <xf numFmtId="0" fontId="43" fillId="0" borderId="7" xfId="12" applyFont="1" applyBorder="1" applyAlignment="1"/>
    <xf numFmtId="0" fontId="72" fillId="0" borderId="8" xfId="12" applyBorder="1" applyAlignment="1"/>
    <xf numFmtId="0" fontId="43" fillId="0" borderId="5" xfId="12" applyFont="1" applyBorder="1" applyAlignment="1"/>
    <xf numFmtId="0" fontId="72" fillId="0" borderId="2" xfId="12" applyBorder="1" applyAlignment="1"/>
    <xf numFmtId="0" fontId="43" fillId="0" borderId="11" xfId="12" applyFont="1" applyBorder="1" applyAlignment="1"/>
    <xf numFmtId="0" fontId="72" fillId="0" borderId="10" xfId="12" applyBorder="1" applyAlignment="1"/>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3" fillId="19" borderId="5" xfId="0" applyFont="1" applyFill="1" applyBorder="1" applyAlignment="1">
      <alignment horizontal="center" vertical="top" wrapText="1"/>
    </xf>
    <xf numFmtId="0" fontId="3" fillId="19" borderId="2" xfId="0" applyFont="1" applyFill="1" applyBorder="1" applyAlignment="1">
      <alignment horizontal="center" vertical="top" wrapText="1"/>
    </xf>
    <xf numFmtId="0" fontId="3" fillId="19" borderId="6" xfId="0" applyFont="1" applyFill="1" applyBorder="1" applyAlignment="1">
      <alignment horizontal="center" vertical="top" wrapText="1"/>
    </xf>
    <xf numFmtId="0" fontId="3" fillId="19" borderId="3" xfId="0" applyFont="1" applyFill="1" applyBorder="1" applyAlignment="1">
      <alignment horizontal="center" vertical="top" wrapText="1"/>
    </xf>
    <xf numFmtId="0" fontId="3" fillId="19" borderId="0" xfId="0" applyFont="1" applyFill="1" applyAlignment="1">
      <alignment horizontal="center" vertical="top" wrapText="1"/>
    </xf>
    <xf numFmtId="0" fontId="3" fillId="19" borderId="4" xfId="0" applyFont="1" applyFill="1" applyBorder="1" applyAlignment="1">
      <alignment horizontal="center" vertical="top"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43" fillId="0" borderId="3" xfId="12" applyFont="1" applyBorder="1" applyAlignment="1"/>
    <xf numFmtId="0" fontId="72" fillId="0" borderId="0" xfId="12" applyBorder="1" applyAlignment="1"/>
    <xf numFmtId="0" fontId="4" fillId="0" borderId="5" xfId="3" applyBorder="1" applyAlignment="1">
      <alignment horizontal="center" wrapText="1"/>
    </xf>
    <xf numFmtId="0" fontId="4" fillId="0" borderId="2" xfId="3" applyBorder="1" applyAlignment="1">
      <alignment horizontal="center" wrapText="1"/>
    </xf>
    <xf numFmtId="0" fontId="4" fillId="0" borderId="56" xfId="3" applyBorder="1" applyAlignment="1">
      <alignment horizontal="center" wrapText="1"/>
    </xf>
    <xf numFmtId="0" fontId="4" fillId="0" borderId="7" xfId="3" applyBorder="1" applyAlignment="1">
      <alignment horizontal="center" wrapText="1"/>
    </xf>
    <xf numFmtId="0" fontId="4" fillId="0" borderId="8" xfId="3" applyBorder="1" applyAlignment="1">
      <alignment horizontal="center" wrapText="1"/>
    </xf>
    <xf numFmtId="0" fontId="4" fillId="0" borderId="48" xfId="3" applyBorder="1" applyAlignment="1">
      <alignment horizontal="center" wrapText="1"/>
    </xf>
    <xf numFmtId="0" fontId="0" fillId="0" borderId="2" xfId="0" applyBorder="1"/>
    <xf numFmtId="0" fontId="0" fillId="0" borderId="6" xfId="0" applyBorder="1"/>
    <xf numFmtId="0" fontId="0" fillId="0" borderId="10" xfId="0" applyBorder="1"/>
    <xf numFmtId="0" fontId="0" fillId="0" borderId="12" xfId="0" applyBorder="1"/>
    <xf numFmtId="0" fontId="0" fillId="0" borderId="0" xfId="0"/>
    <xf numFmtId="0" fontId="0" fillId="0" borderId="4" xfId="0" applyBorder="1"/>
    <xf numFmtId="0" fontId="0" fillId="0" borderId="8" xfId="0" applyBorder="1"/>
    <xf numFmtId="0" fontId="0" fillId="0" borderId="9" xfId="0" applyBorder="1"/>
    <xf numFmtId="0" fontId="4" fillId="0" borderId="0" xfId="3" applyAlignment="1">
      <alignment horizontal="center" wrapText="1"/>
    </xf>
    <xf numFmtId="0" fontId="4" fillId="0" borderId="6" xfId="3" applyBorder="1" applyAlignment="1">
      <alignment horizontal="center" wrapText="1"/>
    </xf>
    <xf numFmtId="0" fontId="4" fillId="0" borderId="1" xfId="3" applyBorder="1" applyAlignment="1">
      <alignment horizontal="center" wrapText="1"/>
    </xf>
    <xf numFmtId="0" fontId="4" fillId="0" borderId="8" xfId="3" applyBorder="1" applyAlignment="1">
      <alignment horizontal="center"/>
    </xf>
    <xf numFmtId="0" fontId="4" fillId="0" borderId="0" xfId="3" applyAlignment="1">
      <alignment horizontal="center" vertical="top" wrapText="1"/>
    </xf>
    <xf numFmtId="0" fontId="4" fillId="20" borderId="1" xfId="3" applyFill="1" applyBorder="1" applyAlignment="1" applyProtection="1">
      <alignment horizontal="center" vertical="top" wrapText="1"/>
      <protection locked="0"/>
    </xf>
    <xf numFmtId="0" fontId="3" fillId="0" borderId="3" xfId="3" applyFont="1" applyBorder="1" applyAlignment="1">
      <alignment horizontal="center"/>
    </xf>
    <xf numFmtId="0" fontId="4" fillId="0" borderId="11" xfId="3" applyBorder="1" applyAlignment="1">
      <alignment horizontal="center" vertical="top"/>
    </xf>
    <xf numFmtId="0" fontId="4" fillId="0" borderId="10" xfId="3" applyBorder="1" applyAlignment="1">
      <alignment horizontal="center" vertical="top"/>
    </xf>
    <xf numFmtId="0" fontId="4" fillId="0" borderId="12" xfId="3" applyBorder="1" applyAlignment="1">
      <alignment horizontal="center" vertical="top"/>
    </xf>
    <xf numFmtId="0" fontId="4" fillId="26" borderId="11" xfId="3" applyFill="1" applyBorder="1" applyAlignment="1">
      <alignment horizontal="center"/>
    </xf>
    <xf numFmtId="0" fontId="4" fillId="0" borderId="42" xfId="3" applyBorder="1" applyAlignment="1">
      <alignment horizontal="center" vertical="top" wrapText="1"/>
    </xf>
    <xf numFmtId="0" fontId="3" fillId="0" borderId="0" xfId="3" applyFont="1" applyAlignment="1">
      <alignment horizontal="center" wrapText="1"/>
    </xf>
    <xf numFmtId="0" fontId="3" fillId="0" borderId="2" xfId="3" applyFont="1" applyBorder="1" applyAlignment="1">
      <alignment horizontal="center" wrapText="1"/>
    </xf>
    <xf numFmtId="0" fontId="3" fillId="0" borderId="6" xfId="3" applyFont="1" applyBorder="1" applyAlignment="1">
      <alignment horizontal="center" wrapText="1"/>
    </xf>
    <xf numFmtId="0" fontId="3" fillId="0" borderId="4" xfId="3" applyFont="1" applyBorder="1" applyAlignment="1">
      <alignment horizontal="center" wrapText="1"/>
    </xf>
    <xf numFmtId="0" fontId="3" fillId="0" borderId="5" xfId="3" applyFont="1" applyBorder="1" applyAlignment="1">
      <alignment horizontal="center" vertical="top" wrapText="1"/>
    </xf>
    <xf numFmtId="0" fontId="3" fillId="0" borderId="6" xfId="3" applyFont="1" applyBorder="1" applyAlignment="1">
      <alignment horizontal="center" vertical="top" wrapText="1"/>
    </xf>
    <xf numFmtId="0" fontId="3" fillId="0" borderId="3" xfId="3" applyFont="1" applyBorder="1" applyAlignment="1">
      <alignment horizontal="center" vertical="top" wrapText="1"/>
    </xf>
    <xf numFmtId="0" fontId="3" fillId="0" borderId="4" xfId="3" applyFont="1" applyBorder="1" applyAlignment="1">
      <alignment horizontal="center" vertical="top" wrapText="1"/>
    </xf>
    <xf numFmtId="0" fontId="3" fillId="0" borderId="7" xfId="3" applyFont="1" applyBorder="1" applyAlignment="1">
      <alignment horizontal="center" vertical="top" wrapText="1"/>
    </xf>
    <xf numFmtId="0" fontId="3" fillId="0" borderId="9" xfId="3" applyFont="1" applyBorder="1" applyAlignment="1">
      <alignment horizontal="center" vertical="top" wrapText="1"/>
    </xf>
    <xf numFmtId="0" fontId="1" fillId="0" borderId="12" xfId="3" applyFont="1" applyBorder="1" applyAlignment="1" applyProtection="1">
      <alignment horizontal="center"/>
      <protection locked="0"/>
    </xf>
    <xf numFmtId="0" fontId="4" fillId="0" borderId="1" xfId="3" applyBorder="1" applyAlignment="1" applyProtection="1">
      <alignment horizontal="center"/>
      <protection locked="0"/>
    </xf>
    <xf numFmtId="0" fontId="3" fillId="0" borderId="2" xfId="3" applyFont="1" applyBorder="1" applyAlignment="1">
      <alignment horizontal="center" vertical="top" wrapText="1"/>
    </xf>
    <xf numFmtId="0" fontId="3" fillId="0" borderId="0" xfId="3" applyFont="1" applyAlignment="1">
      <alignment horizontal="center" vertical="top" wrapText="1"/>
    </xf>
    <xf numFmtId="0" fontId="3" fillId="0" borderId="8" xfId="3" applyFont="1" applyBorder="1" applyAlignment="1">
      <alignment horizontal="center" vertical="top" wrapText="1"/>
    </xf>
    <xf numFmtId="0" fontId="1" fillId="0" borderId="3" xfId="3" applyFont="1" applyBorder="1" applyAlignment="1">
      <alignment horizontal="center" vertical="center" wrapText="1"/>
    </xf>
    <xf numFmtId="0" fontId="1" fillId="0" borderId="0" xfId="3" applyFont="1" applyAlignment="1">
      <alignment horizontal="center" vertical="center" wrapText="1"/>
    </xf>
    <xf numFmtId="0" fontId="1" fillId="0" borderId="4" xfId="3" applyFont="1" applyBorder="1" applyAlignment="1">
      <alignment horizontal="center" vertical="center" wrapText="1"/>
    </xf>
    <xf numFmtId="0" fontId="39" fillId="0" borderId="41" xfId="3" applyFont="1" applyBorder="1" applyAlignment="1">
      <alignment horizontal="center" vertical="top" wrapText="1"/>
    </xf>
    <xf numFmtId="0" fontId="39" fillId="0" borderId="47" xfId="3" applyFont="1" applyBorder="1" applyAlignment="1">
      <alignment horizontal="center" vertical="top" wrapText="1"/>
    </xf>
    <xf numFmtId="0" fontId="39" fillId="0" borderId="36" xfId="3" applyFont="1" applyBorder="1" applyAlignment="1">
      <alignment horizontal="center" vertical="top" wrapText="1"/>
    </xf>
    <xf numFmtId="0" fontId="39" fillId="0" borderId="39" xfId="3" applyFont="1" applyBorder="1" applyAlignment="1">
      <alignment horizontal="center" vertical="top" wrapText="1"/>
    </xf>
    <xf numFmtId="0" fontId="39" fillId="0" borderId="0" xfId="3" applyFont="1" applyAlignment="1">
      <alignment horizontal="center" vertical="top" wrapText="1"/>
    </xf>
    <xf numFmtId="0" fontId="39" fillId="0" borderId="40" xfId="3" applyFont="1" applyBorder="1" applyAlignment="1">
      <alignment horizontal="center" vertical="top" wrapText="1"/>
    </xf>
    <xf numFmtId="0" fontId="39" fillId="0" borderId="42" xfId="3" applyFont="1" applyBorder="1" applyAlignment="1">
      <alignment horizontal="center" vertical="top" wrapText="1"/>
    </xf>
    <xf numFmtId="0" fontId="39" fillId="0" borderId="49" xfId="3" applyFont="1" applyBorder="1" applyAlignment="1">
      <alignment horizontal="center" vertical="top"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1" fontId="14" fillId="0" borderId="2" xfId="0" applyNumberFormat="1" applyFont="1" applyBorder="1" applyAlignment="1">
      <alignment horizontal="center" wrapText="1"/>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0" fontId="10" fillId="3" borderId="45" xfId="0" applyFont="1" applyFill="1" applyBorder="1" applyAlignment="1" applyProtection="1">
      <alignment horizontal="center" wrapText="1"/>
      <protection locked="0"/>
    </xf>
    <xf numFmtId="0" fontId="10" fillId="3" borderId="38" xfId="0" applyFont="1" applyFill="1" applyBorder="1" applyAlignment="1" applyProtection="1">
      <alignment horizontal="center" wrapText="1"/>
      <protection locked="0"/>
    </xf>
    <xf numFmtId="0" fontId="10" fillId="3" borderId="5" xfId="3" applyFont="1" applyFill="1" applyBorder="1" applyAlignment="1" applyProtection="1">
      <alignment horizontal="center" wrapText="1"/>
      <protection locked="0"/>
    </xf>
    <xf numFmtId="0" fontId="10" fillId="3" borderId="2" xfId="3" applyFont="1" applyFill="1" applyBorder="1" applyAlignment="1" applyProtection="1">
      <alignment horizontal="center" wrapText="1"/>
      <protection locked="0"/>
    </xf>
    <xf numFmtId="2" fontId="10" fillId="3" borderId="11" xfId="3" applyNumberFormat="1" applyFont="1" applyFill="1" applyBorder="1" applyAlignment="1" applyProtection="1">
      <alignment horizontal="center"/>
      <protection locked="0"/>
    </xf>
    <xf numFmtId="2" fontId="10" fillId="3" borderId="12" xfId="3" applyNumberFormat="1" applyFont="1" applyFill="1" applyBorder="1" applyAlignment="1" applyProtection="1">
      <alignment horizontal="center"/>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0" fillId="0" borderId="0" xfId="0"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19" borderId="46" xfId="0" applyFont="1" applyFill="1" applyBorder="1" applyAlignment="1">
      <alignment horizontal="center"/>
    </xf>
    <xf numFmtId="0" fontId="3" fillId="19" borderId="38" xfId="0" applyFont="1" applyFill="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9" applyFont="1" applyAlignment="1">
      <alignment horizontal="center"/>
    </xf>
    <xf numFmtId="0" fontId="70" fillId="0" borderId="0" xfId="9" applyFont="1" applyAlignment="1">
      <alignment wrapText="1"/>
    </xf>
    <xf numFmtId="0" fontId="70" fillId="0" borderId="0" xfId="9" applyFont="1"/>
    <xf numFmtId="0" fontId="42" fillId="0" borderId="0" xfId="9" applyFont="1" applyAlignment="1">
      <alignment wrapText="1"/>
    </xf>
    <xf numFmtId="0" fontId="42" fillId="0" borderId="0" xfId="9" applyFont="1"/>
    <xf numFmtId="0" fontId="35" fillId="0" borderId="0" xfId="0" applyFont="1" applyAlignment="1">
      <alignment wrapText="1"/>
    </xf>
    <xf numFmtId="0" fontId="35" fillId="0" borderId="0" xfId="0" applyFont="1"/>
    <xf numFmtId="0" fontId="10" fillId="19" borderId="0" xfId="3" applyFont="1" applyFill="1" applyAlignment="1">
      <alignment horizontal="left" vertical="top" wrapText="1"/>
    </xf>
    <xf numFmtId="0" fontId="10" fillId="19" borderId="0" xfId="3" applyFont="1" applyFill="1" applyAlignment="1">
      <alignment horizontal="left" wrapText="1"/>
    </xf>
    <xf numFmtId="49" fontId="80" fillId="3" borderId="11" xfId="13" applyNumberFormat="1" applyFill="1" applyBorder="1" applyAlignment="1" applyProtection="1">
      <alignment horizontal="center"/>
      <protection locked="0"/>
    </xf>
  </cellXfs>
  <cellStyles count="14">
    <cellStyle name="Hyperlink" xfId="12" xr:uid="{00000000-000B-0000-0000-000008000000}"/>
    <cellStyle name="Hyperlink 2" xfId="10" xr:uid="{00000000-0005-0000-0000-000001000000}"/>
    <cellStyle name="Lien hypertexte" xfId="13" builtinId="8"/>
    <cellStyle name="Neutral 2" xfId="2" xr:uid="{00000000-0005-0000-0000-000003000000}"/>
    <cellStyle name="Neutre" xfId="1" builtinId="28" customBuiltin="1"/>
    <cellStyle name="Normal" xfId="0" builtinId="0"/>
    <cellStyle name="Normal 2" xfId="3" xr:uid="{00000000-0005-0000-0000-000005000000}"/>
    <cellStyle name="Normal 3" xfId="4" xr:uid="{00000000-0005-0000-0000-000006000000}"/>
    <cellStyle name="Normal 4" xfId="5" xr:uid="{00000000-0005-0000-0000-000007000000}"/>
    <cellStyle name="Normal 5" xfId="6" xr:uid="{00000000-0005-0000-0000-000008000000}"/>
    <cellStyle name="Normal 6" xfId="11" xr:uid="{39FD84AE-1FD1-4F49-9228-B2ADF10778A6}"/>
    <cellStyle name="Standaard 2" xfId="9" xr:uid="{00000000-0005-0000-0000-000009000000}"/>
    <cellStyle name="Standard 2" xfId="7" xr:uid="{00000000-0005-0000-0000-00000A000000}"/>
    <cellStyle name="Standard 3" xfId="8" xr:uid="{00000000-0005-0000-0000-00000B000000}"/>
  </cellStyles>
  <dxfs count="479">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patternType="solid">
          <bgColor rgb="FFFF0000"/>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indexed="10"/>
        </patternFill>
      </fill>
    </dxf>
    <dxf>
      <fill>
        <patternFill>
          <bgColor indexed="11"/>
        </patternFill>
      </fill>
    </dxf>
    <dxf>
      <font>
        <color rgb="FF9C0006"/>
      </font>
      <fill>
        <patternFill patternType="solid">
          <bgColor rgb="FFD0CECE"/>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patternType="solid">
          <bgColor rgb="FFD0CECE"/>
        </patternFill>
      </fill>
    </dxf>
    <dxf>
      <font>
        <color rgb="FF9C0006"/>
      </font>
      <fill>
        <patternFill patternType="solid">
          <bgColor rgb="FFD0CECE"/>
        </patternFill>
      </fill>
    </dxf>
    <dxf>
      <fill>
        <patternFill>
          <bgColor theme="0" tint="-0.14996795556505021"/>
        </patternFill>
      </fill>
    </dxf>
    <dxf>
      <fill>
        <patternFill>
          <bgColor theme="0" tint="-0.14996795556505021"/>
        </patternFill>
      </fill>
    </dxf>
    <dxf>
      <fill>
        <patternFill patternType="solid">
          <bgColor rgb="FFD0CECE"/>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patternType="solid">
          <bgColor rgb="FFFFC000"/>
        </patternFill>
      </fill>
    </dxf>
    <dxf>
      <font>
        <color rgb="FF000000"/>
      </font>
      <fill>
        <patternFill patternType="solid">
          <bgColor rgb="FFFFC000"/>
        </patternFill>
      </fill>
    </dxf>
    <dxf>
      <font>
        <color rgb="FF000000"/>
      </font>
      <fill>
        <patternFill patternType="solid">
          <bgColor rgb="FF00FF00"/>
        </patternFill>
      </fill>
    </dxf>
    <dxf>
      <font>
        <color rgb="FF000000"/>
      </font>
      <fill>
        <patternFill patternType="solid">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ont>
        <color rgb="FF000000"/>
      </font>
      <fill>
        <patternFill patternType="solid">
          <bgColor rgb="FFBFBFBF"/>
        </patternFill>
      </fill>
    </dxf>
    <dxf>
      <fill>
        <patternFill>
          <bgColor rgb="FFFFC000"/>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ont>
        <color rgb="FF000000"/>
      </font>
      <fill>
        <patternFill patternType="solid">
          <bgColor rgb="FFBFBFBF"/>
        </patternFill>
      </fill>
    </dxf>
    <dxf>
      <fill>
        <patternFill>
          <bgColor rgb="FFFFC000"/>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patternType="solid">
          <bgColor rgb="FF00FF00"/>
        </patternFill>
      </fill>
    </dxf>
    <dxf>
      <fill>
        <patternFill patternType="solid">
          <bgColor rgb="FFFF0000"/>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patternType="solid">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ont>
        <color rgb="FF000000"/>
      </font>
      <fill>
        <patternFill patternType="solid">
          <bgColor rgb="FFFF0000"/>
        </patternFill>
      </fill>
    </dxf>
    <dxf>
      <fill>
        <patternFill>
          <bgColor rgb="FFFF0000"/>
        </patternFill>
      </fill>
    </dxf>
    <dxf>
      <fill>
        <patternFill>
          <bgColor rgb="FFFF0000"/>
        </patternFill>
      </fill>
    </dxf>
    <dxf>
      <font>
        <color rgb="FF000000"/>
      </font>
      <fill>
        <patternFill patternType="solid">
          <bgColor rgb="FF00FF00"/>
        </patternFill>
      </fill>
    </dxf>
    <dxf>
      <fill>
        <patternFill patternType="solid">
          <bgColor rgb="FFFF0000"/>
        </patternFill>
      </fill>
    </dxf>
    <dxf>
      <font>
        <color rgb="FF000000"/>
      </font>
      <fill>
        <patternFill patternType="solid">
          <bgColor rgb="FFFFFFFF"/>
        </patternFill>
      </fill>
    </dxf>
    <dxf>
      <fill>
        <patternFill>
          <bgColor rgb="FFFF0000"/>
        </patternFill>
      </fill>
    </dxf>
    <dxf>
      <fill>
        <patternFill>
          <bgColor rgb="FFFF0000"/>
        </patternFill>
      </fill>
    </dxf>
    <dxf>
      <fill>
        <patternFill patternType="solid">
          <bgColor rgb="FF00FF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52"/>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patternType="solid">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rgb="FFFFC000"/>
        </patternFill>
      </fill>
    </dxf>
    <dxf>
      <fill>
        <patternFill>
          <bgColor indexed="10"/>
        </patternFill>
      </fill>
    </dxf>
    <dxf>
      <fill>
        <patternFill>
          <bgColor indexed="11"/>
        </patternFill>
      </fill>
    </dxf>
    <dxf>
      <fill>
        <patternFill>
          <bgColor theme="0" tint="-0.24994659260841701"/>
        </patternFill>
      </fill>
    </dxf>
    <dxf>
      <fill>
        <patternFill patternType="solid">
          <bgColor rgb="FFFF0000"/>
        </patternFill>
      </fill>
    </dxf>
    <dxf>
      <fill>
        <patternFill patternType="solid">
          <bgColor rgb="FFFF0000"/>
        </patternFill>
      </fill>
    </dxf>
    <dxf>
      <fill>
        <patternFill>
          <bgColor rgb="FFFF0000"/>
        </patternFill>
      </fill>
    </dxf>
    <dxf>
      <fill>
        <patternFill>
          <bgColor rgb="FFFFC000"/>
        </patternFill>
      </fill>
    </dxf>
    <dxf>
      <fill>
        <patternFill>
          <bgColor rgb="FFFF0000"/>
        </patternFill>
      </fill>
    </dxf>
    <dxf>
      <fill>
        <patternFill>
          <bgColor indexed="13"/>
        </patternFill>
      </fill>
    </dxf>
    <dxf>
      <fill>
        <patternFill>
          <bgColor indexed="10"/>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9933"/>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1"/>
        </patternFill>
      </fill>
    </dxf>
    <dxf>
      <fill>
        <patternFill>
          <bgColor indexed="10"/>
        </patternFill>
      </fill>
    </dxf>
    <dxf>
      <fill>
        <patternFill>
          <bgColor rgb="FFFFC000"/>
        </patternFill>
      </fill>
    </dxf>
    <dxf>
      <fill>
        <patternFill>
          <bgColor indexed="52"/>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9"/>
        </patternFill>
      </fill>
    </dxf>
    <dxf>
      <fill>
        <patternFill>
          <bgColor indexed="10"/>
        </patternFill>
      </fill>
    </dxf>
    <dxf>
      <fill>
        <patternFill>
          <bgColor indexed="11"/>
        </patternFill>
      </fill>
    </dxf>
  </dxfs>
  <tableStyles count="0" defaultTableStyle="TableStyleMedium2" defaultPivotStyle="PivotStyleLight16"/>
  <colors>
    <mruColors>
      <color rgb="FF9999FF"/>
      <color rgb="FF00FF00"/>
      <color rgb="FFFFFF66"/>
      <color rgb="FFFFCC66"/>
      <color rgb="FFC0C0C0"/>
      <color rgb="FFCCFF99"/>
      <color rgb="FFFF9999"/>
      <color rgb="FFFFCC99"/>
      <color rgb="FFFFCC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jpeg"/><Relationship Id="rId1" Type="http://schemas.openxmlformats.org/officeDocument/2006/relationships/image" Target="../media/image1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4.png"/><Relationship Id="rId1" Type="http://schemas.openxmlformats.org/officeDocument/2006/relationships/image" Target="../media/image11.png"/><Relationship Id="rId4"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40.png"/><Relationship Id="rId1" Type="http://schemas.openxmlformats.org/officeDocument/2006/relationships/image" Target="../media/image3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42.png"/><Relationship Id="rId1" Type="http://schemas.openxmlformats.org/officeDocument/2006/relationships/image" Target="../media/image4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5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5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0.png"/><Relationship Id="rId7" Type="http://schemas.openxmlformats.org/officeDocument/2006/relationships/image" Target="../media/image64.jpeg"/><Relationship Id="rId2" Type="http://schemas.openxmlformats.org/officeDocument/2006/relationships/image" Target="../media/image59.jpe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jpeg"/><Relationship Id="rId4"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1</xdr:col>
      <xdr:colOff>223837</xdr:colOff>
      <xdr:row>40</xdr:row>
      <xdr:rowOff>78164</xdr:rowOff>
    </xdr:from>
    <xdr:to>
      <xdr:col>1</xdr:col>
      <xdr:colOff>7472362</xdr:colOff>
      <xdr:row>65</xdr:row>
      <xdr:rowOff>14710</xdr:rowOff>
    </xdr:to>
    <xdr:pic>
      <xdr:nvPicPr>
        <xdr:cNvPr id="2" name="Image 1" descr="Aucune description disponible.">
          <a:extLst>
            <a:ext uri="{FF2B5EF4-FFF2-40B4-BE49-F238E27FC236}">
              <a16:creationId xmlns:a16="http://schemas.microsoft.com/office/drawing/2014/main" id="{C7A68419-BE70-532B-8476-E08F14D96A2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14487" y="6564689"/>
          <a:ext cx="7248525" cy="398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1866898</xdr:colOff>
      <xdr:row>65</xdr:row>
      <xdr:rowOff>42862</xdr:rowOff>
    </xdr:from>
    <xdr:to>
      <xdr:col>1</xdr:col>
      <xdr:colOff>5897878</xdr:colOff>
      <xdr:row>66</xdr:row>
      <xdr:rowOff>57307</xdr:rowOff>
    </xdr:to>
    <xdr:sp macro="" textlink="">
      <xdr:nvSpPr>
        <xdr:cNvPr id="3" name="ZoneTexte 2">
          <a:extLst>
            <a:ext uri="{FF2B5EF4-FFF2-40B4-BE49-F238E27FC236}">
              <a16:creationId xmlns:a16="http://schemas.microsoft.com/office/drawing/2014/main" id="{E3ED84F9-7CBD-441C-AC2F-BCE62E8ED039}"/>
            </a:ext>
          </a:extLst>
        </xdr:cNvPr>
        <xdr:cNvSpPr txBox="1"/>
      </xdr:nvSpPr>
      <xdr:spPr>
        <a:xfrm>
          <a:off x="3257548" y="10577512"/>
          <a:ext cx="4030980" cy="176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(Valkyrie vehicle)</a:t>
          </a:r>
        </a:p>
      </xdr:txBody>
    </xdr:sp>
    <xdr:clientData/>
  </xdr:twoCellAnchor>
  <xdr:twoCellAnchor editAs="oneCell">
    <xdr:from>
      <xdr:col>1</xdr:col>
      <xdr:colOff>136523</xdr:colOff>
      <xdr:row>8</xdr:row>
      <xdr:rowOff>142875</xdr:rowOff>
    </xdr:from>
    <xdr:to>
      <xdr:col>1</xdr:col>
      <xdr:colOff>7665704</xdr:colOff>
      <xdr:row>35</xdr:row>
      <xdr:rowOff>142875</xdr:rowOff>
    </xdr:to>
    <xdr:pic>
      <xdr:nvPicPr>
        <xdr:cNvPr id="5" name="Image 4" descr="Aucune description disponible.">
          <a:extLst>
            <a:ext uri="{FF2B5EF4-FFF2-40B4-BE49-F238E27FC236}">
              <a16:creationId xmlns:a16="http://schemas.microsoft.com/office/drawing/2014/main" id="{EFEFE99F-1111-1C1F-838B-1EE1BBE2CEB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27173" y="1447800"/>
          <a:ext cx="7529181"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1890712</xdr:colOff>
      <xdr:row>36</xdr:row>
      <xdr:rowOff>9524</xdr:rowOff>
    </xdr:from>
    <xdr:to>
      <xdr:col>1</xdr:col>
      <xdr:colOff>5979952</xdr:colOff>
      <xdr:row>37</xdr:row>
      <xdr:rowOff>34807</xdr:rowOff>
    </xdr:to>
    <xdr:sp macro="" textlink="">
      <xdr:nvSpPr>
        <xdr:cNvPr id="6" name="ZoneTexte 5">
          <a:extLst>
            <a:ext uri="{FF2B5EF4-FFF2-40B4-BE49-F238E27FC236}">
              <a16:creationId xmlns:a16="http://schemas.microsoft.com/office/drawing/2014/main" id="{77F8D0C9-AAFF-4360-A9BB-CF0A8576A571}"/>
            </a:ext>
          </a:extLst>
        </xdr:cNvPr>
        <xdr:cNvSpPr txBox="1"/>
      </xdr:nvSpPr>
      <xdr:spPr>
        <a:xfrm>
          <a:off x="3281362" y="5848349"/>
          <a:ext cx="4089240" cy="187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a:t>
          </a:r>
          <a:r>
            <a:rPr lang="fr-FR" sz="1100" baseline="0"/>
            <a:t> (Artemiz vehicle)</a:t>
          </a:r>
          <a:endParaRPr lang="fr-FR" sz="1100"/>
        </a:p>
      </xdr:txBody>
    </xdr:sp>
    <xdr:clientData/>
  </xdr:twoCellAnchor>
  <xdr:twoCellAnchor editAs="oneCell">
    <xdr:from>
      <xdr:col>1</xdr:col>
      <xdr:colOff>300037</xdr:colOff>
      <xdr:row>41</xdr:row>
      <xdr:rowOff>14288</xdr:rowOff>
    </xdr:from>
    <xdr:to>
      <xdr:col>1</xdr:col>
      <xdr:colOff>2064170</xdr:colOff>
      <xdr:row>47</xdr:row>
      <xdr:rowOff>67799</xdr:rowOff>
    </xdr:to>
    <xdr:pic>
      <xdr:nvPicPr>
        <xdr:cNvPr id="7" name="Image 6">
          <a:extLst>
            <a:ext uri="{FF2B5EF4-FFF2-40B4-BE49-F238E27FC236}">
              <a16:creationId xmlns:a16="http://schemas.microsoft.com/office/drawing/2014/main" id="{6EB234EA-344A-4F26-8D0C-F2B5ADEA69F5}"/>
            </a:ext>
          </a:extLst>
        </xdr:cNvPr>
        <xdr:cNvPicPr>
          <a:picLocks noChangeAspect="1"/>
        </xdr:cNvPicPr>
      </xdr:nvPicPr>
      <xdr:blipFill>
        <a:blip xmlns:r="http://schemas.openxmlformats.org/officeDocument/2006/relationships" r:embed="rId4"/>
        <a:stretch>
          <a:fillRect/>
        </a:stretch>
      </xdr:blipFill>
      <xdr:spPr>
        <a:xfrm>
          <a:off x="1690687" y="6662738"/>
          <a:ext cx="1764133" cy="1025061"/>
        </a:xfrm>
        <a:prstGeom prst="rect">
          <a:avLst/>
        </a:prstGeom>
      </xdr:spPr>
    </xdr:pic>
    <xdr:clientData/>
  </xdr:twoCellAnchor>
  <xdr:twoCellAnchor editAs="oneCell">
    <xdr:from>
      <xdr:col>1</xdr:col>
      <xdr:colOff>228599</xdr:colOff>
      <xdr:row>9</xdr:row>
      <xdr:rowOff>80963</xdr:rowOff>
    </xdr:from>
    <xdr:to>
      <xdr:col>1</xdr:col>
      <xdr:colOff>1992732</xdr:colOff>
      <xdr:row>15</xdr:row>
      <xdr:rowOff>134474</xdr:rowOff>
    </xdr:to>
    <xdr:pic>
      <xdr:nvPicPr>
        <xdr:cNvPr id="9" name="Image 8">
          <a:extLst>
            <a:ext uri="{FF2B5EF4-FFF2-40B4-BE49-F238E27FC236}">
              <a16:creationId xmlns:a16="http://schemas.microsoft.com/office/drawing/2014/main" id="{CF0E1D8B-5BFC-4CDF-A4DB-A78614EE42C4}"/>
            </a:ext>
          </a:extLst>
        </xdr:cNvPr>
        <xdr:cNvPicPr>
          <a:picLocks noChangeAspect="1"/>
        </xdr:cNvPicPr>
      </xdr:nvPicPr>
      <xdr:blipFill>
        <a:blip xmlns:r="http://schemas.openxmlformats.org/officeDocument/2006/relationships" r:embed="rId4"/>
        <a:stretch>
          <a:fillRect/>
        </a:stretch>
      </xdr:blipFill>
      <xdr:spPr>
        <a:xfrm>
          <a:off x="1619249" y="1547813"/>
          <a:ext cx="1764133" cy="10250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9524</xdr:colOff>
      <xdr:row>4</xdr:row>
      <xdr:rowOff>0</xdr:rowOff>
    </xdr:from>
    <xdr:to>
      <xdr:col>27</xdr:col>
      <xdr:colOff>108227</xdr:colOff>
      <xdr:row>17</xdr:row>
      <xdr:rowOff>161923</xdr:rowOff>
    </xdr:to>
    <xdr:pic>
      <xdr:nvPicPr>
        <xdr:cNvPr id="2" name="Image 1">
          <a:extLst>
            <a:ext uri="{FF2B5EF4-FFF2-40B4-BE49-F238E27FC236}">
              <a16:creationId xmlns:a16="http://schemas.microsoft.com/office/drawing/2014/main" id="{BFC2AF39-B719-4A8D-B01F-A4D8DF295FF0}"/>
            </a:ext>
          </a:extLst>
        </xdr:cNvPr>
        <xdr:cNvPicPr>
          <a:picLocks noChangeAspect="1"/>
        </xdr:cNvPicPr>
      </xdr:nvPicPr>
      <xdr:blipFill>
        <a:blip xmlns:r="http://schemas.openxmlformats.org/officeDocument/2006/relationships" r:embed="rId1"/>
        <a:stretch>
          <a:fillRect/>
        </a:stretch>
      </xdr:blipFill>
      <xdr:spPr>
        <a:xfrm>
          <a:off x="6796087" y="652463"/>
          <a:ext cx="2956203" cy="2266948"/>
        </a:xfrm>
        <a:prstGeom prst="rect">
          <a:avLst/>
        </a:prstGeom>
      </xdr:spPr>
    </xdr:pic>
    <xdr:clientData/>
  </xdr:twoCellAnchor>
  <xdr:twoCellAnchor>
    <xdr:from>
      <xdr:col>27</xdr:col>
      <xdr:colOff>109537</xdr:colOff>
      <xdr:row>4</xdr:row>
      <xdr:rowOff>4761</xdr:rowOff>
    </xdr:from>
    <xdr:to>
      <xdr:col>38</xdr:col>
      <xdr:colOff>4762</xdr:colOff>
      <xdr:row>17</xdr:row>
      <xdr:rowOff>161923</xdr:rowOff>
    </xdr:to>
    <xdr:sp macro="" textlink="">
      <xdr:nvSpPr>
        <xdr:cNvPr id="3" name="ZoneTexte 2">
          <a:extLst>
            <a:ext uri="{FF2B5EF4-FFF2-40B4-BE49-F238E27FC236}">
              <a16:creationId xmlns:a16="http://schemas.microsoft.com/office/drawing/2014/main" id="{E04A240E-D8C0-43AA-8260-4516E4409411}"/>
            </a:ext>
          </a:extLst>
        </xdr:cNvPr>
        <xdr:cNvSpPr txBox="1"/>
      </xdr:nvSpPr>
      <xdr:spPr>
        <a:xfrm>
          <a:off x="9753600" y="657224"/>
          <a:ext cx="3824287" cy="2262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As I said in the mail, we were not able to capture the exact moment when the setup broke.</a:t>
          </a:r>
        </a:p>
        <a:p>
          <a:r>
            <a:rPr lang="en-GB" sz="1100"/>
            <a:t>The last time our</a:t>
          </a:r>
          <a:r>
            <a:rPr lang="en-GB" sz="1100" baseline="0"/>
            <a:t> teammate looked at the screen, the device was indicating 250MPa. Tubes have undegone a 3% deformation in length that can be seen on the pictures below.</a:t>
          </a:r>
        </a:p>
        <a:p>
          <a:endParaRPr lang="en-GB" sz="1100" baseline="0"/>
        </a:p>
        <a:p>
          <a:r>
            <a:rPr lang="en-GB" sz="1100" baseline="0"/>
            <a:t>Yield point was measured at ~205MPa.</a:t>
          </a:r>
        </a:p>
        <a:p>
          <a:endParaRPr lang="en-GB" sz="1100" baseline="0"/>
        </a:p>
        <a:p>
          <a:r>
            <a:rPr lang="en-GB" sz="1100" baseline="0"/>
            <a:t>You can see how the dispositive broke on the central picture below.</a:t>
          </a:r>
        </a:p>
        <a:p>
          <a:endParaRPr lang="en-GB" sz="1100"/>
        </a:p>
      </xdr:txBody>
    </xdr:sp>
    <xdr:clientData/>
  </xdr:twoCellAnchor>
  <xdr:twoCellAnchor editAs="oneCell">
    <xdr:from>
      <xdr:col>18</xdr:col>
      <xdr:colOff>352425</xdr:colOff>
      <xdr:row>20</xdr:row>
      <xdr:rowOff>4763</xdr:rowOff>
    </xdr:from>
    <xdr:to>
      <xdr:col>24</xdr:col>
      <xdr:colOff>215801</xdr:colOff>
      <xdr:row>42</xdr:row>
      <xdr:rowOff>9525</xdr:rowOff>
    </xdr:to>
    <xdr:pic>
      <xdr:nvPicPr>
        <xdr:cNvPr id="4" name="Image 3">
          <a:extLst>
            <a:ext uri="{FF2B5EF4-FFF2-40B4-BE49-F238E27FC236}">
              <a16:creationId xmlns:a16="http://schemas.microsoft.com/office/drawing/2014/main" id="{EEC313EF-FAB9-40A4-960F-A370AA9740E4}"/>
            </a:ext>
          </a:extLst>
        </xdr:cNvPr>
        <xdr:cNvPicPr>
          <a:picLocks noChangeAspect="1"/>
        </xdr:cNvPicPr>
      </xdr:nvPicPr>
      <xdr:blipFill>
        <a:blip xmlns:r="http://schemas.openxmlformats.org/officeDocument/2006/relationships" r:embed="rId2"/>
        <a:stretch>
          <a:fillRect/>
        </a:stretch>
      </xdr:blipFill>
      <xdr:spPr>
        <a:xfrm>
          <a:off x="6781800" y="3248026"/>
          <a:ext cx="2006501" cy="3567112"/>
        </a:xfrm>
        <a:prstGeom prst="rect">
          <a:avLst/>
        </a:prstGeom>
      </xdr:spPr>
    </xdr:pic>
    <xdr:clientData/>
  </xdr:twoCellAnchor>
  <xdr:twoCellAnchor editAs="oneCell">
    <xdr:from>
      <xdr:col>24</xdr:col>
      <xdr:colOff>214312</xdr:colOff>
      <xdr:row>20</xdr:row>
      <xdr:rowOff>23812</xdr:rowOff>
    </xdr:from>
    <xdr:to>
      <xdr:col>30</xdr:col>
      <xdr:colOff>64293</xdr:colOff>
      <xdr:row>42</xdr:row>
      <xdr:rowOff>4761</xdr:rowOff>
    </xdr:to>
    <xdr:pic>
      <xdr:nvPicPr>
        <xdr:cNvPr id="5" name="Image 4">
          <a:extLst>
            <a:ext uri="{FF2B5EF4-FFF2-40B4-BE49-F238E27FC236}">
              <a16:creationId xmlns:a16="http://schemas.microsoft.com/office/drawing/2014/main" id="{5091AFC5-5B0D-46B5-AFCD-986CA398CE1A}"/>
            </a:ext>
          </a:extLst>
        </xdr:cNvPr>
        <xdr:cNvPicPr>
          <a:picLocks noChangeAspect="1"/>
        </xdr:cNvPicPr>
      </xdr:nvPicPr>
      <xdr:blipFill>
        <a:blip xmlns:r="http://schemas.openxmlformats.org/officeDocument/2006/relationships" r:embed="rId3"/>
        <a:stretch>
          <a:fillRect/>
        </a:stretch>
      </xdr:blipFill>
      <xdr:spPr>
        <a:xfrm>
          <a:off x="8786812" y="3267075"/>
          <a:ext cx="1993106" cy="3543299"/>
        </a:xfrm>
        <a:prstGeom prst="rect">
          <a:avLst/>
        </a:prstGeom>
      </xdr:spPr>
    </xdr:pic>
    <xdr:clientData/>
  </xdr:twoCellAnchor>
  <xdr:twoCellAnchor editAs="oneCell">
    <xdr:from>
      <xdr:col>30</xdr:col>
      <xdr:colOff>61913</xdr:colOff>
      <xdr:row>32</xdr:row>
      <xdr:rowOff>59530</xdr:rowOff>
    </xdr:from>
    <xdr:to>
      <xdr:col>38</xdr:col>
      <xdr:colOff>3113</xdr:colOff>
      <xdr:row>42</xdr:row>
      <xdr:rowOff>14549</xdr:rowOff>
    </xdr:to>
    <xdr:pic>
      <xdr:nvPicPr>
        <xdr:cNvPr id="6" name="Image 5">
          <a:extLst>
            <a:ext uri="{FF2B5EF4-FFF2-40B4-BE49-F238E27FC236}">
              <a16:creationId xmlns:a16="http://schemas.microsoft.com/office/drawing/2014/main" id="{CEC6F699-15D6-48A5-A94D-1A25A471850A}"/>
            </a:ext>
          </a:extLst>
        </xdr:cNvPr>
        <xdr:cNvPicPr>
          <a:picLocks noChangeAspect="1"/>
        </xdr:cNvPicPr>
      </xdr:nvPicPr>
      <xdr:blipFill>
        <a:blip xmlns:r="http://schemas.openxmlformats.org/officeDocument/2006/relationships" r:embed="rId4"/>
        <a:stretch>
          <a:fillRect/>
        </a:stretch>
      </xdr:blipFill>
      <xdr:spPr>
        <a:xfrm>
          <a:off x="10777538" y="5245893"/>
          <a:ext cx="2798700" cy="15742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xdr:colOff>
      <xdr:row>1</xdr:row>
      <xdr:rowOff>171449</xdr:rowOff>
    </xdr:from>
    <xdr:to>
      <xdr:col>14</xdr:col>
      <xdr:colOff>600074</xdr:colOff>
      <xdr:row>28</xdr:row>
      <xdr:rowOff>35069</xdr:rowOff>
    </xdr:to>
    <xdr:pic>
      <xdr:nvPicPr>
        <xdr:cNvPr id="2" name="Image 1" descr="Aucune description disponible.">
          <a:extLst>
            <a:ext uri="{FF2B5EF4-FFF2-40B4-BE49-F238E27FC236}">
              <a16:creationId xmlns:a16="http://schemas.microsoft.com/office/drawing/2014/main" id="{237A0AA9-BC74-72B9-30BB-2D594CA87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44275" y="361949"/>
          <a:ext cx="2233612" cy="4264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9524</xdr:colOff>
      <xdr:row>8</xdr:row>
      <xdr:rowOff>111368</xdr:rowOff>
    </xdr:from>
    <xdr:to>
      <xdr:col>12</xdr:col>
      <xdr:colOff>23812</xdr:colOff>
      <xdr:row>28</xdr:row>
      <xdr:rowOff>9525</xdr:rowOff>
    </xdr:to>
    <xdr:pic>
      <xdr:nvPicPr>
        <xdr:cNvPr id="3" name="Image 2" descr="Aucune description disponible.">
          <a:extLst>
            <a:ext uri="{FF2B5EF4-FFF2-40B4-BE49-F238E27FC236}">
              <a16:creationId xmlns:a16="http://schemas.microsoft.com/office/drawing/2014/main" id="{8C0623DD-6AB5-0166-610B-45C55AB04E2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62699" y="1459156"/>
          <a:ext cx="5000626" cy="3141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495861</xdr:colOff>
      <xdr:row>39</xdr:row>
      <xdr:rowOff>120051</xdr:rowOff>
    </xdr:from>
    <xdr:to>
      <xdr:col>10</xdr:col>
      <xdr:colOff>745191</xdr:colOff>
      <xdr:row>70</xdr:row>
      <xdr:rowOff>157525</xdr:rowOff>
    </xdr:to>
    <xdr:pic>
      <xdr:nvPicPr>
        <xdr:cNvPr id="2" name="Image 1" descr="Aucune description disponible.">
          <a:extLst>
            <a:ext uri="{FF2B5EF4-FFF2-40B4-BE49-F238E27FC236}">
              <a16:creationId xmlns:a16="http://schemas.microsoft.com/office/drawing/2014/main" id="{A8A3FF79-0065-6F09-656F-A2A60E35E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390" y="6653080"/>
          <a:ext cx="9432552" cy="5074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553165</xdr:colOff>
      <xdr:row>71</xdr:row>
      <xdr:rowOff>60614</xdr:rowOff>
    </xdr:from>
    <xdr:to>
      <xdr:col>10</xdr:col>
      <xdr:colOff>699865</xdr:colOff>
      <xdr:row>90</xdr:row>
      <xdr:rowOff>29441</xdr:rowOff>
    </xdr:to>
    <xdr:pic>
      <xdr:nvPicPr>
        <xdr:cNvPr id="3" name="Image 2" descr="Aucune description disponible.">
          <a:extLst>
            <a:ext uri="{FF2B5EF4-FFF2-40B4-BE49-F238E27FC236}">
              <a16:creationId xmlns:a16="http://schemas.microsoft.com/office/drawing/2014/main" id="{F3B16FB5-3C4C-4509-EB2D-693500E7393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60004" y="11793173"/>
          <a:ext cx="4169612" cy="3056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530749</xdr:colOff>
      <xdr:row>71</xdr:row>
      <xdr:rowOff>144659</xdr:rowOff>
    </xdr:from>
    <xdr:to>
      <xdr:col>4</xdr:col>
      <xdr:colOff>671483</xdr:colOff>
      <xdr:row>85</xdr:row>
      <xdr:rowOff>73959</xdr:rowOff>
    </xdr:to>
    <xdr:pic>
      <xdr:nvPicPr>
        <xdr:cNvPr id="4" name="Image 3" descr="Aucune description disponible.">
          <a:extLst>
            <a:ext uri="{FF2B5EF4-FFF2-40B4-BE49-F238E27FC236}">
              <a16:creationId xmlns:a16="http://schemas.microsoft.com/office/drawing/2014/main" id="{F5A2F11A-1957-3F06-F6B7-B784F66C6D0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7278" y="11877218"/>
          <a:ext cx="4466205" cy="2204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341778</xdr:colOff>
      <xdr:row>40</xdr:row>
      <xdr:rowOff>50427</xdr:rowOff>
    </xdr:from>
    <xdr:to>
      <xdr:col>10</xdr:col>
      <xdr:colOff>492729</xdr:colOff>
      <xdr:row>48</xdr:row>
      <xdr:rowOff>52604</xdr:rowOff>
    </xdr:to>
    <xdr:pic>
      <xdr:nvPicPr>
        <xdr:cNvPr id="5" name="Image 4">
          <a:extLst>
            <a:ext uri="{FF2B5EF4-FFF2-40B4-BE49-F238E27FC236}">
              <a16:creationId xmlns:a16="http://schemas.microsoft.com/office/drawing/2014/main" id="{B97E58D2-63DD-8BC0-BFA8-DC10E4492CCA}"/>
            </a:ext>
          </a:extLst>
        </xdr:cNvPr>
        <xdr:cNvPicPr>
          <a:picLocks noChangeAspect="1"/>
        </xdr:cNvPicPr>
      </xdr:nvPicPr>
      <xdr:blipFill>
        <a:blip xmlns:r="http://schemas.openxmlformats.org/officeDocument/2006/relationships" r:embed="rId4"/>
        <a:stretch>
          <a:fillRect/>
        </a:stretch>
      </xdr:blipFill>
      <xdr:spPr>
        <a:xfrm>
          <a:off x="7681631" y="6745942"/>
          <a:ext cx="2240849" cy="1302060"/>
        </a:xfrm>
        <a:prstGeom prst="rect">
          <a:avLst/>
        </a:prstGeom>
      </xdr:spPr>
    </xdr:pic>
    <xdr:clientData/>
  </xdr:twoCellAnchor>
  <xdr:twoCellAnchor>
    <xdr:from>
      <xdr:col>4</xdr:col>
      <xdr:colOff>113090</xdr:colOff>
      <xdr:row>51</xdr:row>
      <xdr:rowOff>148065</xdr:rowOff>
    </xdr:from>
    <xdr:to>
      <xdr:col>5</xdr:col>
      <xdr:colOff>591467</xdr:colOff>
      <xdr:row>53</xdr:row>
      <xdr:rowOff>89647</xdr:rowOff>
    </xdr:to>
    <xdr:sp macro="" textlink="">
      <xdr:nvSpPr>
        <xdr:cNvPr id="6" name="Rectangle 5">
          <a:extLst>
            <a:ext uri="{FF2B5EF4-FFF2-40B4-BE49-F238E27FC236}">
              <a16:creationId xmlns:a16="http://schemas.microsoft.com/office/drawing/2014/main" id="{E5925E16-1AC1-40A6-B2D9-B8C7DE302874}"/>
            </a:ext>
          </a:extLst>
        </xdr:cNvPr>
        <xdr:cNvSpPr/>
      </xdr:nvSpPr>
      <xdr:spPr>
        <a:xfrm>
          <a:off x="4685090" y="8630918"/>
          <a:ext cx="1313216" cy="26655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2</xdr:col>
      <xdr:colOff>30816</xdr:colOff>
      <xdr:row>53</xdr:row>
      <xdr:rowOff>21217</xdr:rowOff>
    </xdr:from>
    <xdr:to>
      <xdr:col>4</xdr:col>
      <xdr:colOff>107568</xdr:colOff>
      <xdr:row>59</xdr:row>
      <xdr:rowOff>20110</xdr:rowOff>
    </xdr:to>
    <xdr:cxnSp macro="">
      <xdr:nvCxnSpPr>
        <xdr:cNvPr id="7" name="Connecteur droit avec flèche 6">
          <a:extLst>
            <a:ext uri="{FF2B5EF4-FFF2-40B4-BE49-F238E27FC236}">
              <a16:creationId xmlns:a16="http://schemas.microsoft.com/office/drawing/2014/main" id="{6CED9A92-0E38-42FB-9EE4-44746F909BA2}"/>
            </a:ext>
          </a:extLst>
        </xdr:cNvPr>
        <xdr:cNvCxnSpPr/>
      </xdr:nvCxnSpPr>
      <xdr:spPr>
        <a:xfrm flipH="1">
          <a:off x="3532655" y="8829041"/>
          <a:ext cx="1146913" cy="97380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2681754</xdr:colOff>
      <xdr:row>69</xdr:row>
      <xdr:rowOff>65849</xdr:rowOff>
    </xdr:from>
    <xdr:to>
      <xdr:col>2</xdr:col>
      <xdr:colOff>740886</xdr:colOff>
      <xdr:row>70</xdr:row>
      <xdr:rowOff>156883</xdr:rowOff>
    </xdr:to>
    <xdr:sp macro="" textlink="">
      <xdr:nvSpPr>
        <xdr:cNvPr id="8" name="Rectangle 7">
          <a:extLst>
            <a:ext uri="{FF2B5EF4-FFF2-40B4-BE49-F238E27FC236}">
              <a16:creationId xmlns:a16="http://schemas.microsoft.com/office/drawing/2014/main" id="{7AFE71C8-F53D-45DB-A9BE-52FFE184106C}"/>
            </a:ext>
          </a:extLst>
        </xdr:cNvPr>
        <xdr:cNvSpPr/>
      </xdr:nvSpPr>
      <xdr:spPr>
        <a:xfrm>
          <a:off x="2928283" y="11473437"/>
          <a:ext cx="1314442" cy="25352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2515721</xdr:colOff>
      <xdr:row>61</xdr:row>
      <xdr:rowOff>123265</xdr:rowOff>
    </xdr:from>
    <xdr:to>
      <xdr:col>2</xdr:col>
      <xdr:colOff>83665</xdr:colOff>
      <xdr:row>69</xdr:row>
      <xdr:rowOff>65849</xdr:rowOff>
    </xdr:to>
    <xdr:cxnSp macro="">
      <xdr:nvCxnSpPr>
        <xdr:cNvPr id="9" name="Connecteur droit avec flèche 8">
          <a:extLst>
            <a:ext uri="{FF2B5EF4-FFF2-40B4-BE49-F238E27FC236}">
              <a16:creationId xmlns:a16="http://schemas.microsoft.com/office/drawing/2014/main" id="{C986D58D-445E-4F59-96CE-C9291288B340}"/>
            </a:ext>
          </a:extLst>
        </xdr:cNvPr>
        <xdr:cNvCxnSpPr>
          <a:stCxn id="8" idx="0"/>
        </xdr:cNvCxnSpPr>
      </xdr:nvCxnSpPr>
      <xdr:spPr>
        <a:xfrm flipH="1" flipV="1">
          <a:off x="2762250" y="10230971"/>
          <a:ext cx="823254" cy="12424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2622177</xdr:colOff>
      <xdr:row>66</xdr:row>
      <xdr:rowOff>84043</xdr:rowOff>
    </xdr:from>
    <xdr:to>
      <xdr:col>2</xdr:col>
      <xdr:colOff>83665</xdr:colOff>
      <xdr:row>69</xdr:row>
      <xdr:rowOff>65849</xdr:rowOff>
    </xdr:to>
    <xdr:cxnSp macro="">
      <xdr:nvCxnSpPr>
        <xdr:cNvPr id="10" name="Connecteur droit avec flèche 9">
          <a:extLst>
            <a:ext uri="{FF2B5EF4-FFF2-40B4-BE49-F238E27FC236}">
              <a16:creationId xmlns:a16="http://schemas.microsoft.com/office/drawing/2014/main" id="{FCD630DC-EAE6-4C92-8522-6AA622DC6935}"/>
            </a:ext>
          </a:extLst>
        </xdr:cNvPr>
        <xdr:cNvCxnSpPr>
          <a:stCxn id="8" idx="0"/>
        </xdr:cNvCxnSpPr>
      </xdr:nvCxnSpPr>
      <xdr:spPr>
        <a:xfrm flipH="1" flipV="1">
          <a:off x="2868706" y="11004176"/>
          <a:ext cx="716798" cy="469261"/>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83665</xdr:colOff>
      <xdr:row>68</xdr:row>
      <xdr:rowOff>28014</xdr:rowOff>
    </xdr:from>
    <xdr:to>
      <xdr:col>2</xdr:col>
      <xdr:colOff>364191</xdr:colOff>
      <xdr:row>69</xdr:row>
      <xdr:rowOff>65849</xdr:rowOff>
    </xdr:to>
    <xdr:cxnSp macro="">
      <xdr:nvCxnSpPr>
        <xdr:cNvPr id="11" name="Connecteur droit avec flèche 10">
          <a:extLst>
            <a:ext uri="{FF2B5EF4-FFF2-40B4-BE49-F238E27FC236}">
              <a16:creationId xmlns:a16="http://schemas.microsoft.com/office/drawing/2014/main" id="{DB0D40FB-C273-42C8-9285-3AC00A5CFE07}"/>
            </a:ext>
          </a:extLst>
        </xdr:cNvPr>
        <xdr:cNvCxnSpPr>
          <a:stCxn id="8" idx="0"/>
        </xdr:cNvCxnSpPr>
      </xdr:nvCxnSpPr>
      <xdr:spPr>
        <a:xfrm flipV="1">
          <a:off x="3585504" y="11273118"/>
          <a:ext cx="280526" cy="20031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685800</xdr:colOff>
      <xdr:row>40</xdr:row>
      <xdr:rowOff>57150</xdr:rowOff>
    </xdr:from>
    <xdr:to>
      <xdr:col>11</xdr:col>
      <xdr:colOff>121864</xdr:colOff>
      <xdr:row>71</xdr:row>
      <xdr:rowOff>111994</xdr:rowOff>
    </xdr:to>
    <xdr:pic>
      <xdr:nvPicPr>
        <xdr:cNvPr id="2" name="Image 1" descr="Aucune description disponible.">
          <a:extLst>
            <a:ext uri="{FF2B5EF4-FFF2-40B4-BE49-F238E27FC236}">
              <a16:creationId xmlns:a16="http://schemas.microsoft.com/office/drawing/2014/main" id="{3AD8E03E-3A3A-4A25-9266-4E596AB24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3450" y="6729413"/>
          <a:ext cx="9432552" cy="5074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208879</xdr:colOff>
      <xdr:row>40</xdr:row>
      <xdr:rowOff>150012</xdr:rowOff>
    </xdr:from>
    <xdr:to>
      <xdr:col>10</xdr:col>
      <xdr:colOff>688552</xdr:colOff>
      <xdr:row>48</xdr:row>
      <xdr:rowOff>71438</xdr:rowOff>
    </xdr:to>
    <xdr:pic>
      <xdr:nvPicPr>
        <xdr:cNvPr id="3" name="Image 2">
          <a:extLst>
            <a:ext uri="{FF2B5EF4-FFF2-40B4-BE49-F238E27FC236}">
              <a16:creationId xmlns:a16="http://schemas.microsoft.com/office/drawing/2014/main" id="{DD96FBA6-3646-417D-A0AF-C5320298ECE5}"/>
            </a:ext>
          </a:extLst>
        </xdr:cNvPr>
        <xdr:cNvPicPr>
          <a:picLocks noChangeAspect="1"/>
        </xdr:cNvPicPr>
      </xdr:nvPicPr>
      <xdr:blipFill>
        <a:blip xmlns:r="http://schemas.openxmlformats.org/officeDocument/2006/relationships" r:embed="rId2"/>
        <a:stretch>
          <a:fillRect/>
        </a:stretch>
      </xdr:blipFill>
      <xdr:spPr>
        <a:xfrm>
          <a:off x="8019379" y="6822275"/>
          <a:ext cx="2094161" cy="1216826"/>
        </a:xfrm>
        <a:prstGeom prst="rect">
          <a:avLst/>
        </a:prstGeom>
      </xdr:spPr>
    </xdr:pic>
    <xdr:clientData/>
  </xdr:twoCellAnchor>
  <xdr:twoCellAnchor>
    <xdr:from>
      <xdr:col>5</xdr:col>
      <xdr:colOff>581024</xdr:colOff>
      <xdr:row>51</xdr:row>
      <xdr:rowOff>0</xdr:rowOff>
    </xdr:from>
    <xdr:to>
      <xdr:col>6</xdr:col>
      <xdr:colOff>413011</xdr:colOff>
      <xdr:row>52</xdr:row>
      <xdr:rowOff>156040</xdr:rowOff>
    </xdr:to>
    <xdr:sp macro="" textlink="">
      <xdr:nvSpPr>
        <xdr:cNvPr id="4" name="Rectangle 3">
          <a:extLst>
            <a:ext uri="{FF2B5EF4-FFF2-40B4-BE49-F238E27FC236}">
              <a16:creationId xmlns:a16="http://schemas.microsoft.com/office/drawing/2014/main" id="{106CD1F6-4547-4B69-8F71-E63B21EECA17}"/>
            </a:ext>
          </a:extLst>
        </xdr:cNvPr>
        <xdr:cNvSpPr/>
      </xdr:nvSpPr>
      <xdr:spPr>
        <a:xfrm>
          <a:off x="5986462" y="8453438"/>
          <a:ext cx="927362" cy="31796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1042045</xdr:colOff>
      <xdr:row>52</xdr:row>
      <xdr:rowOff>156041</xdr:rowOff>
    </xdr:from>
    <xdr:to>
      <xdr:col>6</xdr:col>
      <xdr:colOff>137596</xdr:colOff>
      <xdr:row>58</xdr:row>
      <xdr:rowOff>148026</xdr:rowOff>
    </xdr:to>
    <xdr:cxnSp macro="">
      <xdr:nvCxnSpPr>
        <xdr:cNvPr id="5" name="Connecteur droit avec flèche 4">
          <a:extLst>
            <a:ext uri="{FF2B5EF4-FFF2-40B4-BE49-F238E27FC236}">
              <a16:creationId xmlns:a16="http://schemas.microsoft.com/office/drawing/2014/main" id="{2C5F429E-4590-41D2-94CE-C87D081C92ED}"/>
            </a:ext>
          </a:extLst>
        </xdr:cNvPr>
        <xdr:cNvCxnSpPr>
          <a:stCxn id="4" idx="2"/>
        </xdr:cNvCxnSpPr>
      </xdr:nvCxnSpPr>
      <xdr:spPr>
        <a:xfrm>
          <a:off x="6447483" y="8771404"/>
          <a:ext cx="190926" cy="963535"/>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280987</xdr:colOff>
      <xdr:row>50</xdr:row>
      <xdr:rowOff>119063</xdr:rowOff>
    </xdr:from>
    <xdr:to>
      <xdr:col>9</xdr:col>
      <xdr:colOff>140803</xdr:colOff>
      <xdr:row>52</xdr:row>
      <xdr:rowOff>113177</xdr:rowOff>
    </xdr:to>
    <xdr:sp macro="" textlink="">
      <xdr:nvSpPr>
        <xdr:cNvPr id="6" name="Rectangle 5">
          <a:extLst>
            <a:ext uri="{FF2B5EF4-FFF2-40B4-BE49-F238E27FC236}">
              <a16:creationId xmlns:a16="http://schemas.microsoft.com/office/drawing/2014/main" id="{7182C6A1-D726-4027-956E-A2C5B0F57B43}"/>
            </a:ext>
          </a:extLst>
        </xdr:cNvPr>
        <xdr:cNvSpPr/>
      </xdr:nvSpPr>
      <xdr:spPr>
        <a:xfrm>
          <a:off x="8091487" y="8410576"/>
          <a:ext cx="655154" cy="3179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563599</xdr:colOff>
      <xdr:row>52</xdr:row>
      <xdr:rowOff>113178</xdr:rowOff>
    </xdr:from>
    <xdr:to>
      <xdr:col>8</xdr:col>
      <xdr:colOff>608564</xdr:colOff>
      <xdr:row>58</xdr:row>
      <xdr:rowOff>96429</xdr:rowOff>
    </xdr:to>
    <xdr:cxnSp macro="">
      <xdr:nvCxnSpPr>
        <xdr:cNvPr id="7" name="Connecteur droit avec flèche 6">
          <a:extLst>
            <a:ext uri="{FF2B5EF4-FFF2-40B4-BE49-F238E27FC236}">
              <a16:creationId xmlns:a16="http://schemas.microsoft.com/office/drawing/2014/main" id="{6949649A-5B10-4930-AC6A-FDA9253E2743}"/>
            </a:ext>
          </a:extLst>
        </xdr:cNvPr>
        <xdr:cNvCxnSpPr>
          <a:stCxn id="6" idx="2"/>
        </xdr:cNvCxnSpPr>
      </xdr:nvCxnSpPr>
      <xdr:spPr>
        <a:xfrm flipH="1">
          <a:off x="8374099" y="8728541"/>
          <a:ext cx="44965" cy="954801"/>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685801</xdr:colOff>
      <xdr:row>72</xdr:row>
      <xdr:rowOff>57150</xdr:rowOff>
    </xdr:from>
    <xdr:to>
      <xdr:col>5</xdr:col>
      <xdr:colOff>822207</xdr:colOff>
      <xdr:row>91</xdr:row>
      <xdr:rowOff>147637</xdr:rowOff>
    </xdr:to>
    <xdr:pic>
      <xdr:nvPicPr>
        <xdr:cNvPr id="8" name="Image 7" descr="Aucune description disponible.">
          <a:extLst>
            <a:ext uri="{FF2B5EF4-FFF2-40B4-BE49-F238E27FC236}">
              <a16:creationId xmlns:a16="http://schemas.microsoft.com/office/drawing/2014/main" id="{E5A566AB-ABDB-90E7-786B-A2F1BFA33B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3451" y="11911013"/>
          <a:ext cx="5294194" cy="3167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11267</xdr:colOff>
      <xdr:row>72</xdr:row>
      <xdr:rowOff>109536</xdr:rowOff>
    </xdr:from>
    <xdr:to>
      <xdr:col>11</xdr:col>
      <xdr:colOff>366712</xdr:colOff>
      <xdr:row>89</xdr:row>
      <xdr:rowOff>157162</xdr:rowOff>
    </xdr:to>
    <xdr:pic>
      <xdr:nvPicPr>
        <xdr:cNvPr id="9" name="Image 8" descr="Aucune description disponible.">
          <a:extLst>
            <a:ext uri="{FF2B5EF4-FFF2-40B4-BE49-F238E27FC236}">
              <a16:creationId xmlns:a16="http://schemas.microsoft.com/office/drawing/2014/main" id="{67A40017-F129-1BA0-CA76-258C177EA56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12080" y="11963399"/>
          <a:ext cx="4098770" cy="28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36361</xdr:colOff>
      <xdr:row>41</xdr:row>
      <xdr:rowOff>95250</xdr:rowOff>
    </xdr:from>
    <xdr:to>
      <xdr:col>6</xdr:col>
      <xdr:colOff>309563</xdr:colOff>
      <xdr:row>68</xdr:row>
      <xdr:rowOff>38099</xdr:rowOff>
    </xdr:to>
    <xdr:pic>
      <xdr:nvPicPr>
        <xdr:cNvPr id="7" name="Image 6" descr="Aucune description disponible.">
          <a:extLst>
            <a:ext uri="{FF2B5EF4-FFF2-40B4-BE49-F238E27FC236}">
              <a16:creationId xmlns:a16="http://schemas.microsoft.com/office/drawing/2014/main" id="{DFC9D6E7-163E-E05E-DDD1-65955EDF4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011" y="6929438"/>
          <a:ext cx="6526365" cy="4314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401746</xdr:colOff>
      <xdr:row>41</xdr:row>
      <xdr:rowOff>28574</xdr:rowOff>
    </xdr:from>
    <xdr:to>
      <xdr:col>16</xdr:col>
      <xdr:colOff>522113</xdr:colOff>
      <xdr:row>68</xdr:row>
      <xdr:rowOff>61912</xdr:rowOff>
    </xdr:to>
    <xdr:pic>
      <xdr:nvPicPr>
        <xdr:cNvPr id="8" name="Image 7" descr="Aucune description disponible.">
          <a:extLst>
            <a:ext uri="{FF2B5EF4-FFF2-40B4-BE49-F238E27FC236}">
              <a16:creationId xmlns:a16="http://schemas.microsoft.com/office/drawing/2014/main" id="{DC8F27E7-374C-A681-452C-383D263E95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02559" y="6862762"/>
          <a:ext cx="5759167" cy="4405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73607</xdr:colOff>
      <xdr:row>68</xdr:row>
      <xdr:rowOff>104775</xdr:rowOff>
    </xdr:from>
    <xdr:to>
      <xdr:col>6</xdr:col>
      <xdr:colOff>233361</xdr:colOff>
      <xdr:row>100</xdr:row>
      <xdr:rowOff>6051</xdr:rowOff>
    </xdr:to>
    <xdr:pic>
      <xdr:nvPicPr>
        <xdr:cNvPr id="9" name="Image 8" descr="Aucune description disponible.">
          <a:extLst>
            <a:ext uri="{FF2B5EF4-FFF2-40B4-BE49-F238E27FC236}">
              <a16:creationId xmlns:a16="http://schemas.microsoft.com/office/drawing/2014/main" id="{80988853-E700-B436-3290-C5E858898E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1257" y="11310938"/>
          <a:ext cx="6412917" cy="5082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233363</xdr:colOff>
      <xdr:row>49</xdr:row>
      <xdr:rowOff>76201</xdr:rowOff>
    </xdr:from>
    <xdr:to>
      <xdr:col>6</xdr:col>
      <xdr:colOff>790674</xdr:colOff>
      <xdr:row>77</xdr:row>
      <xdr:rowOff>90489</xdr:rowOff>
    </xdr:to>
    <xdr:pic>
      <xdr:nvPicPr>
        <xdr:cNvPr id="2" name="Image 1" descr="Aucune description disponible.">
          <a:extLst>
            <a:ext uri="{FF2B5EF4-FFF2-40B4-BE49-F238E27FC236}">
              <a16:creationId xmlns:a16="http://schemas.microsoft.com/office/drawing/2014/main" id="{739F1F8F-580E-9E94-68A7-4D0E2C6AD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013" y="8429626"/>
          <a:ext cx="6572349" cy="454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381001</xdr:colOff>
      <xdr:row>49</xdr:row>
      <xdr:rowOff>47624</xdr:rowOff>
    </xdr:from>
    <xdr:to>
      <xdr:col>14</xdr:col>
      <xdr:colOff>209551</xdr:colOff>
      <xdr:row>77</xdr:row>
      <xdr:rowOff>70755</xdr:rowOff>
    </xdr:to>
    <xdr:pic>
      <xdr:nvPicPr>
        <xdr:cNvPr id="3" name="Image 2" descr="Aucune description disponible.">
          <a:extLst>
            <a:ext uri="{FF2B5EF4-FFF2-40B4-BE49-F238E27FC236}">
              <a16:creationId xmlns:a16="http://schemas.microsoft.com/office/drawing/2014/main" id="{7FE80F4E-746A-33BD-8E4C-CB2136225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77126" y="8401049"/>
          <a:ext cx="5562600" cy="4557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1781174</xdr:colOff>
      <xdr:row>78</xdr:row>
      <xdr:rowOff>23812</xdr:rowOff>
    </xdr:from>
    <xdr:to>
      <xdr:col>5</xdr:col>
      <xdr:colOff>723899</xdr:colOff>
      <xdr:row>83</xdr:row>
      <xdr:rowOff>9525</xdr:rowOff>
    </xdr:to>
    <xdr:sp macro="" textlink="">
      <xdr:nvSpPr>
        <xdr:cNvPr id="4" name="ZoneTexte 3">
          <a:extLst>
            <a:ext uri="{FF2B5EF4-FFF2-40B4-BE49-F238E27FC236}">
              <a16:creationId xmlns:a16="http://schemas.microsoft.com/office/drawing/2014/main" id="{02C7C31C-0D69-4713-9BF3-06239F543226}"/>
            </a:ext>
          </a:extLst>
        </xdr:cNvPr>
        <xdr:cNvSpPr txBox="1"/>
      </xdr:nvSpPr>
      <xdr:spPr>
        <a:xfrm>
          <a:off x="2028824" y="13073062"/>
          <a:ext cx="4124325" cy="79533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For the record, pink tubes'</a:t>
          </a:r>
          <a:r>
            <a:rPr lang="en-GB" sz="1000" baseline="0">
              <a:solidFill>
                <a:sysClr val="windowText" lastClr="000000"/>
              </a:solidFill>
            </a:rPr>
            <a:t> dimensions are 25x1.5, and yellow ones are 28x1.5. We counted one yellow tube (the one on the top) and two pink tubes (the bottom one and the most horizontal running in the middle), the rest being triangulation.</a:t>
          </a:r>
          <a:endParaRPr lang="en-GB" sz="1000">
            <a:solidFill>
              <a:sysClr val="windowText" lastClr="000000"/>
            </a:solidFill>
          </a:endParaRPr>
        </a:p>
      </xdr:txBody>
    </xdr:sp>
    <xdr:clientData/>
  </xdr:twoCellAnchor>
  <xdr:twoCellAnchor>
    <xdr:from>
      <xdr:col>11</xdr:col>
      <xdr:colOff>280987</xdr:colOff>
      <xdr:row>79</xdr:row>
      <xdr:rowOff>76200</xdr:rowOff>
    </xdr:from>
    <xdr:to>
      <xdr:col>12</xdr:col>
      <xdr:colOff>454024</xdr:colOff>
      <xdr:row>81</xdr:row>
      <xdr:rowOff>6350</xdr:rowOff>
    </xdr:to>
    <xdr:sp macro="" textlink="">
      <xdr:nvSpPr>
        <xdr:cNvPr id="5" name="ZoneTexte 4">
          <a:extLst>
            <a:ext uri="{FF2B5EF4-FFF2-40B4-BE49-F238E27FC236}">
              <a16:creationId xmlns:a16="http://schemas.microsoft.com/office/drawing/2014/main" id="{C5FAFFE3-55D5-4998-A678-E43A15147CBC}"/>
            </a:ext>
          </a:extLst>
        </xdr:cNvPr>
        <xdr:cNvSpPr txBox="1"/>
      </xdr:nvSpPr>
      <xdr:spPr>
        <a:xfrm>
          <a:off x="10677525" y="13287375"/>
          <a:ext cx="968374" cy="254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Isometric view</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338347</xdr:colOff>
      <xdr:row>39</xdr:row>
      <xdr:rowOff>142876</xdr:rowOff>
    </xdr:from>
    <xdr:to>
      <xdr:col>2</xdr:col>
      <xdr:colOff>147637</xdr:colOff>
      <xdr:row>64</xdr:row>
      <xdr:rowOff>144286</xdr:rowOff>
    </xdr:to>
    <xdr:pic>
      <xdr:nvPicPr>
        <xdr:cNvPr id="2" name="Image 1" descr="Aucune description disponible.">
          <a:extLst>
            <a:ext uri="{FF2B5EF4-FFF2-40B4-BE49-F238E27FC236}">
              <a16:creationId xmlns:a16="http://schemas.microsoft.com/office/drawing/2014/main" id="{C8972CFA-0230-5137-ABDC-49D862D42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5997" y="6805614"/>
          <a:ext cx="3085890" cy="40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1257299</xdr:colOff>
      <xdr:row>48</xdr:row>
      <xdr:rowOff>123825</xdr:rowOff>
    </xdr:from>
    <xdr:to>
      <xdr:col>1</xdr:col>
      <xdr:colOff>2182244</xdr:colOff>
      <xdr:row>50</xdr:row>
      <xdr:rowOff>119654</xdr:rowOff>
    </xdr:to>
    <xdr:sp macro="" textlink="">
      <xdr:nvSpPr>
        <xdr:cNvPr id="3" name="Rectangle 2">
          <a:extLst>
            <a:ext uri="{FF2B5EF4-FFF2-40B4-BE49-F238E27FC236}">
              <a16:creationId xmlns:a16="http://schemas.microsoft.com/office/drawing/2014/main" id="{BD11552E-DE93-40F6-AA5C-514F203042C9}"/>
            </a:ext>
          </a:extLst>
        </xdr:cNvPr>
        <xdr:cNvSpPr/>
      </xdr:nvSpPr>
      <xdr:spPr>
        <a:xfrm>
          <a:off x="1504949" y="8243888"/>
          <a:ext cx="924945"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1</xdr:col>
      <xdr:colOff>1719772</xdr:colOff>
      <xdr:row>50</xdr:row>
      <xdr:rowOff>119654</xdr:rowOff>
    </xdr:from>
    <xdr:to>
      <xdr:col>1</xdr:col>
      <xdr:colOff>2142321</xdr:colOff>
      <xdr:row>56</xdr:row>
      <xdr:rowOff>125870</xdr:rowOff>
    </xdr:to>
    <xdr:cxnSp macro="">
      <xdr:nvCxnSpPr>
        <xdr:cNvPr id="4" name="Connecteur droit avec flèche 3">
          <a:extLst>
            <a:ext uri="{FF2B5EF4-FFF2-40B4-BE49-F238E27FC236}">
              <a16:creationId xmlns:a16="http://schemas.microsoft.com/office/drawing/2014/main" id="{132596C5-3C73-4C16-A080-01D08E7FBFA0}"/>
            </a:ext>
          </a:extLst>
        </xdr:cNvPr>
        <xdr:cNvCxnSpPr>
          <a:stCxn id="3" idx="2"/>
        </xdr:cNvCxnSpPr>
      </xdr:nvCxnSpPr>
      <xdr:spPr>
        <a:xfrm>
          <a:off x="1967422" y="8563567"/>
          <a:ext cx="422549"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1995697</xdr:colOff>
      <xdr:row>44</xdr:row>
      <xdr:rowOff>33338</xdr:rowOff>
    </xdr:from>
    <xdr:to>
      <xdr:col>1</xdr:col>
      <xdr:colOff>2919311</xdr:colOff>
      <xdr:row>46</xdr:row>
      <xdr:rowOff>22123</xdr:rowOff>
    </xdr:to>
    <xdr:sp macro="" textlink="">
      <xdr:nvSpPr>
        <xdr:cNvPr id="5" name="Rectangle 4">
          <a:extLst>
            <a:ext uri="{FF2B5EF4-FFF2-40B4-BE49-F238E27FC236}">
              <a16:creationId xmlns:a16="http://schemas.microsoft.com/office/drawing/2014/main" id="{E8A2DF19-F7AC-489E-9720-74AF53EEFE9F}"/>
            </a:ext>
          </a:extLst>
        </xdr:cNvPr>
        <xdr:cNvSpPr/>
      </xdr:nvSpPr>
      <xdr:spPr>
        <a:xfrm>
          <a:off x="2243347" y="7505701"/>
          <a:ext cx="923614"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1</xdr:col>
      <xdr:colOff>2458169</xdr:colOff>
      <xdr:row>46</xdr:row>
      <xdr:rowOff>22123</xdr:rowOff>
    </xdr:from>
    <xdr:to>
      <xdr:col>1</xdr:col>
      <xdr:colOff>2879387</xdr:colOff>
      <xdr:row>52</xdr:row>
      <xdr:rowOff>35383</xdr:rowOff>
    </xdr:to>
    <xdr:cxnSp macro="">
      <xdr:nvCxnSpPr>
        <xdr:cNvPr id="6" name="Connecteur droit avec flèche 5">
          <a:extLst>
            <a:ext uri="{FF2B5EF4-FFF2-40B4-BE49-F238E27FC236}">
              <a16:creationId xmlns:a16="http://schemas.microsoft.com/office/drawing/2014/main" id="{9F6B47F3-199F-4FE3-AE1E-6965B52EC080}"/>
            </a:ext>
          </a:extLst>
        </xdr:cNvPr>
        <xdr:cNvCxnSpPr>
          <a:stCxn id="5" idx="2"/>
        </xdr:cNvCxnSpPr>
      </xdr:nvCxnSpPr>
      <xdr:spPr>
        <a:xfrm>
          <a:off x="2705819" y="7818336"/>
          <a:ext cx="421218"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2200485</xdr:colOff>
      <xdr:row>65</xdr:row>
      <xdr:rowOff>108775</xdr:rowOff>
    </xdr:from>
    <xdr:to>
      <xdr:col>1</xdr:col>
      <xdr:colOff>3124099</xdr:colOff>
      <xdr:row>67</xdr:row>
      <xdr:rowOff>104604</xdr:rowOff>
    </xdr:to>
    <xdr:sp macro="" textlink="">
      <xdr:nvSpPr>
        <xdr:cNvPr id="7" name="Rectangle 6">
          <a:extLst>
            <a:ext uri="{FF2B5EF4-FFF2-40B4-BE49-F238E27FC236}">
              <a16:creationId xmlns:a16="http://schemas.microsoft.com/office/drawing/2014/main" id="{21FD833B-8588-41E8-96B6-3C0911C3F010}"/>
            </a:ext>
          </a:extLst>
        </xdr:cNvPr>
        <xdr:cNvSpPr/>
      </xdr:nvSpPr>
      <xdr:spPr>
        <a:xfrm>
          <a:off x="2448135" y="10981563"/>
          <a:ext cx="923614"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1</xdr:col>
      <xdr:colOff>2290984</xdr:colOff>
      <xdr:row>61</xdr:row>
      <xdr:rowOff>71438</xdr:rowOff>
    </xdr:from>
    <xdr:to>
      <xdr:col>1</xdr:col>
      <xdr:colOff>2676932</xdr:colOff>
      <xdr:row>65</xdr:row>
      <xdr:rowOff>126827</xdr:rowOff>
    </xdr:to>
    <xdr:cxnSp macro="">
      <xdr:nvCxnSpPr>
        <xdr:cNvPr id="8" name="Connecteur droit avec flèche 7">
          <a:extLst>
            <a:ext uri="{FF2B5EF4-FFF2-40B4-BE49-F238E27FC236}">
              <a16:creationId xmlns:a16="http://schemas.microsoft.com/office/drawing/2014/main" id="{2DA8BFDB-7446-49DA-B7CC-94180E8FF578}"/>
            </a:ext>
          </a:extLst>
        </xdr:cNvPr>
        <xdr:cNvCxnSpPr/>
      </xdr:nvCxnSpPr>
      <xdr:spPr>
        <a:xfrm flipH="1" flipV="1">
          <a:off x="2538634" y="10296526"/>
          <a:ext cx="385948"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37</xdr:row>
      <xdr:rowOff>142875</xdr:rowOff>
    </xdr:from>
    <xdr:to>
      <xdr:col>7</xdr:col>
      <xdr:colOff>85725</xdr:colOff>
      <xdr:row>49</xdr:row>
      <xdr:rowOff>38100</xdr:rowOff>
    </xdr:to>
    <xdr:pic>
      <xdr:nvPicPr>
        <xdr:cNvPr id="58" name="Bild 183">
          <a:extLst>
            <a:ext uri="{FF2B5EF4-FFF2-40B4-BE49-F238E27FC236}">
              <a16:creationId xmlns:a16="http://schemas.microsoft.com/office/drawing/2014/main" id="{F5430BB1-2476-4D79-AF10-2DEAED1AD951}"/>
            </a:ext>
            <a:ext uri="{147F2762-F138-4A5C-976F-8EAC2B608ADB}">
              <a16:predDERef xmlns:a16="http://schemas.microsoft.com/office/drawing/2014/main" pred="{5877F889-EA07-6011-4449-D96DBE36E11D}"/>
            </a:ext>
          </a:extLst>
        </xdr:cNvPr>
        <xdr:cNvPicPr>
          <a:picLocks noChangeAspect="1"/>
        </xdr:cNvPicPr>
      </xdr:nvPicPr>
      <xdr:blipFill>
        <a:blip xmlns:r="http://schemas.openxmlformats.org/officeDocument/2006/relationships" r:embed="rId1"/>
        <a:stretch>
          <a:fillRect/>
        </a:stretch>
      </xdr:blipFill>
      <xdr:spPr>
        <a:xfrm>
          <a:off x="333375" y="6134100"/>
          <a:ext cx="2085975" cy="1838325"/>
        </a:xfrm>
        <a:prstGeom prst="rect">
          <a:avLst/>
        </a:prstGeom>
      </xdr:spPr>
    </xdr:pic>
    <xdr:clientData/>
  </xdr:twoCellAnchor>
  <xdr:twoCellAnchor editAs="oneCell">
    <xdr:from>
      <xdr:col>9</xdr:col>
      <xdr:colOff>0</xdr:colOff>
      <xdr:row>37</xdr:row>
      <xdr:rowOff>152400</xdr:rowOff>
    </xdr:from>
    <xdr:to>
      <xdr:col>18</xdr:col>
      <xdr:colOff>171450</xdr:colOff>
      <xdr:row>49</xdr:row>
      <xdr:rowOff>9525</xdr:rowOff>
    </xdr:to>
    <xdr:pic>
      <xdr:nvPicPr>
        <xdr:cNvPr id="60" name="Bild 184">
          <a:extLst>
            <a:ext uri="{FF2B5EF4-FFF2-40B4-BE49-F238E27FC236}">
              <a16:creationId xmlns:a16="http://schemas.microsoft.com/office/drawing/2014/main" id="{2BE20DCA-C6E6-40FC-BDF0-667FC04C36E8}"/>
            </a:ext>
            <a:ext uri="{147F2762-F138-4A5C-976F-8EAC2B608ADB}">
              <a16:predDERef xmlns:a16="http://schemas.microsoft.com/office/drawing/2014/main" pred="{F5430BB1-2476-4D79-AF10-2DEAED1AD951}"/>
            </a:ext>
          </a:extLst>
        </xdr:cNvPr>
        <xdr:cNvPicPr>
          <a:picLocks noChangeAspect="1"/>
        </xdr:cNvPicPr>
      </xdr:nvPicPr>
      <xdr:blipFill>
        <a:blip xmlns:r="http://schemas.openxmlformats.org/officeDocument/2006/relationships" r:embed="rId2"/>
        <a:stretch>
          <a:fillRect/>
        </a:stretch>
      </xdr:blipFill>
      <xdr:spPr>
        <a:xfrm>
          <a:off x="3000375" y="6143625"/>
          <a:ext cx="3171825" cy="1800225"/>
        </a:xfrm>
        <a:prstGeom prst="rect">
          <a:avLst/>
        </a:prstGeom>
      </xdr:spPr>
    </xdr:pic>
    <xdr:clientData/>
  </xdr:twoCellAnchor>
  <xdr:twoCellAnchor editAs="oneCell">
    <xdr:from>
      <xdr:col>1</xdr:col>
      <xdr:colOff>0</xdr:colOff>
      <xdr:row>24</xdr:row>
      <xdr:rowOff>0</xdr:rowOff>
    </xdr:from>
    <xdr:to>
      <xdr:col>9</xdr:col>
      <xdr:colOff>85725</xdr:colOff>
      <xdr:row>36</xdr:row>
      <xdr:rowOff>76200</xdr:rowOff>
    </xdr:to>
    <xdr:pic>
      <xdr:nvPicPr>
        <xdr:cNvPr id="33" name="Bild 180">
          <a:extLst>
            <a:ext uri="{FF2B5EF4-FFF2-40B4-BE49-F238E27FC236}">
              <a16:creationId xmlns:a16="http://schemas.microsoft.com/office/drawing/2014/main" id="{DA825C55-2A0B-49D9-A4E1-34CB2E60167D}"/>
            </a:ext>
            <a:ext uri="{147F2762-F138-4A5C-976F-8EAC2B608ADB}">
              <a16:predDERef xmlns:a16="http://schemas.microsoft.com/office/drawing/2014/main" pred="{2BE20DCA-C6E6-40FC-BDF0-667FC04C36E8}"/>
            </a:ext>
          </a:extLst>
        </xdr:cNvPr>
        <xdr:cNvPicPr>
          <a:picLocks noChangeAspect="1"/>
        </xdr:cNvPicPr>
      </xdr:nvPicPr>
      <xdr:blipFill>
        <a:blip xmlns:r="http://schemas.openxmlformats.org/officeDocument/2006/relationships" r:embed="rId3"/>
        <a:stretch>
          <a:fillRect/>
        </a:stretch>
      </xdr:blipFill>
      <xdr:spPr>
        <a:xfrm>
          <a:off x="333375" y="3886200"/>
          <a:ext cx="2752725" cy="2019300"/>
        </a:xfrm>
        <a:prstGeom prst="rect">
          <a:avLst/>
        </a:prstGeom>
      </xdr:spPr>
    </xdr:pic>
    <xdr:clientData/>
  </xdr:twoCellAnchor>
  <xdr:twoCellAnchor editAs="oneCell">
    <xdr:from>
      <xdr:col>22</xdr:col>
      <xdr:colOff>133350</xdr:colOff>
      <xdr:row>1</xdr:row>
      <xdr:rowOff>114300</xdr:rowOff>
    </xdr:from>
    <xdr:to>
      <xdr:col>36</xdr:col>
      <xdr:colOff>38100</xdr:colOff>
      <xdr:row>18</xdr:row>
      <xdr:rowOff>9525</xdr:rowOff>
    </xdr:to>
    <xdr:pic>
      <xdr:nvPicPr>
        <xdr:cNvPr id="51" name="Bild 189">
          <a:extLst>
            <a:ext uri="{FF2B5EF4-FFF2-40B4-BE49-F238E27FC236}">
              <a16:creationId xmlns:a16="http://schemas.microsoft.com/office/drawing/2014/main" id="{E2FD7367-6F93-3BB7-C34E-6B2030CB5335}"/>
            </a:ext>
            <a:ext uri="{147F2762-F138-4A5C-976F-8EAC2B608ADB}">
              <a16:predDERef xmlns:a16="http://schemas.microsoft.com/office/drawing/2014/main" pred="{DA825C55-2A0B-49D9-A4E1-34CB2E60167D}"/>
            </a:ext>
          </a:extLst>
        </xdr:cNvPr>
        <xdr:cNvPicPr>
          <a:picLocks noChangeAspect="1"/>
        </xdr:cNvPicPr>
      </xdr:nvPicPr>
      <xdr:blipFill>
        <a:blip xmlns:r="http://schemas.openxmlformats.org/officeDocument/2006/relationships" r:embed="rId4"/>
        <a:stretch>
          <a:fillRect/>
        </a:stretch>
      </xdr:blipFill>
      <xdr:spPr>
        <a:xfrm>
          <a:off x="7553325" y="276225"/>
          <a:ext cx="4572000" cy="2647950"/>
        </a:xfrm>
        <a:prstGeom prst="rect">
          <a:avLst/>
        </a:prstGeom>
      </xdr:spPr>
    </xdr:pic>
    <xdr:clientData/>
  </xdr:twoCellAnchor>
  <xdr:twoCellAnchor editAs="oneCell">
    <xdr:from>
      <xdr:col>1</xdr:col>
      <xdr:colOff>0</xdr:colOff>
      <xdr:row>49</xdr:row>
      <xdr:rowOff>142875</xdr:rowOff>
    </xdr:from>
    <xdr:to>
      <xdr:col>7</xdr:col>
      <xdr:colOff>38100</xdr:colOff>
      <xdr:row>60</xdr:row>
      <xdr:rowOff>133350</xdr:rowOff>
    </xdr:to>
    <xdr:pic>
      <xdr:nvPicPr>
        <xdr:cNvPr id="59" name="Bild 192">
          <a:extLst>
            <a:ext uri="{FF2B5EF4-FFF2-40B4-BE49-F238E27FC236}">
              <a16:creationId xmlns:a16="http://schemas.microsoft.com/office/drawing/2014/main" id="{62685F0F-44B8-4187-B84E-A5D39A0DC35F}"/>
            </a:ext>
            <a:ext uri="{147F2762-F138-4A5C-976F-8EAC2B608ADB}">
              <a16:predDERef xmlns:a16="http://schemas.microsoft.com/office/drawing/2014/main" pred="{320BBD25-51D9-EB84-4FEE-1B2906B33923}"/>
            </a:ext>
          </a:extLst>
        </xdr:cNvPr>
        <xdr:cNvPicPr>
          <a:picLocks noChangeAspect="1"/>
        </xdr:cNvPicPr>
      </xdr:nvPicPr>
      <xdr:blipFill>
        <a:blip xmlns:r="http://schemas.openxmlformats.org/officeDocument/2006/relationships" r:embed="rId5"/>
        <a:stretch>
          <a:fillRect/>
        </a:stretch>
      </xdr:blipFill>
      <xdr:spPr>
        <a:xfrm>
          <a:off x="333375" y="8077200"/>
          <a:ext cx="2038350" cy="1771650"/>
        </a:xfrm>
        <a:prstGeom prst="rect">
          <a:avLst/>
        </a:prstGeom>
      </xdr:spPr>
    </xdr:pic>
    <xdr:clientData/>
  </xdr:twoCellAnchor>
  <xdr:twoCellAnchor editAs="oneCell">
    <xdr:from>
      <xdr:col>9</xdr:col>
      <xdr:colOff>0</xdr:colOff>
      <xdr:row>49</xdr:row>
      <xdr:rowOff>142875</xdr:rowOff>
    </xdr:from>
    <xdr:to>
      <xdr:col>16</xdr:col>
      <xdr:colOff>133350</xdr:colOff>
      <xdr:row>60</xdr:row>
      <xdr:rowOff>95250</xdr:rowOff>
    </xdr:to>
    <xdr:pic>
      <xdr:nvPicPr>
        <xdr:cNvPr id="61" name="Bild 193">
          <a:extLst>
            <a:ext uri="{FF2B5EF4-FFF2-40B4-BE49-F238E27FC236}">
              <a16:creationId xmlns:a16="http://schemas.microsoft.com/office/drawing/2014/main" id="{0D3D7E15-5B41-4702-A725-E38F8E79EBC9}"/>
            </a:ext>
            <a:ext uri="{147F2762-F138-4A5C-976F-8EAC2B608ADB}">
              <a16:predDERef xmlns:a16="http://schemas.microsoft.com/office/drawing/2014/main" pred="{62685F0F-44B8-4187-B84E-A5D39A0DC35F}"/>
            </a:ext>
          </a:extLst>
        </xdr:cNvPr>
        <xdr:cNvPicPr>
          <a:picLocks noChangeAspect="1"/>
        </xdr:cNvPicPr>
      </xdr:nvPicPr>
      <xdr:blipFill>
        <a:blip xmlns:r="http://schemas.openxmlformats.org/officeDocument/2006/relationships" r:embed="rId6"/>
        <a:stretch>
          <a:fillRect/>
        </a:stretch>
      </xdr:blipFill>
      <xdr:spPr>
        <a:xfrm>
          <a:off x="3000375" y="8077200"/>
          <a:ext cx="2466975" cy="1733550"/>
        </a:xfrm>
        <a:prstGeom prst="rect">
          <a:avLst/>
        </a:prstGeom>
      </xdr:spPr>
    </xdr:pic>
    <xdr:clientData/>
  </xdr:twoCellAnchor>
  <xdr:twoCellAnchor editAs="oneCell">
    <xdr:from>
      <xdr:col>1</xdr:col>
      <xdr:colOff>0</xdr:colOff>
      <xdr:row>61</xdr:row>
      <xdr:rowOff>76200</xdr:rowOff>
    </xdr:from>
    <xdr:to>
      <xdr:col>10</xdr:col>
      <xdr:colOff>142875</xdr:colOff>
      <xdr:row>72</xdr:row>
      <xdr:rowOff>76200</xdr:rowOff>
    </xdr:to>
    <xdr:pic>
      <xdr:nvPicPr>
        <xdr:cNvPr id="62" name="Bild 194">
          <a:extLst>
            <a:ext uri="{FF2B5EF4-FFF2-40B4-BE49-F238E27FC236}">
              <a16:creationId xmlns:a16="http://schemas.microsoft.com/office/drawing/2014/main" id="{D8ED15BB-20EA-422D-A42B-E290F91B87C2}"/>
            </a:ext>
            <a:ext uri="{147F2762-F138-4A5C-976F-8EAC2B608ADB}">
              <a16:predDERef xmlns:a16="http://schemas.microsoft.com/office/drawing/2014/main" pred="{0D3D7E15-5B41-4702-A725-E38F8E79EBC9}"/>
            </a:ext>
          </a:extLst>
        </xdr:cNvPr>
        <xdr:cNvPicPr>
          <a:picLocks noChangeAspect="1"/>
        </xdr:cNvPicPr>
      </xdr:nvPicPr>
      <xdr:blipFill>
        <a:blip xmlns:r="http://schemas.openxmlformats.org/officeDocument/2006/relationships" r:embed="rId7"/>
        <a:stretch>
          <a:fillRect/>
        </a:stretch>
      </xdr:blipFill>
      <xdr:spPr>
        <a:xfrm>
          <a:off x="333375" y="9953625"/>
          <a:ext cx="3143250" cy="1781175"/>
        </a:xfrm>
        <a:prstGeom prst="rect">
          <a:avLst/>
        </a:prstGeom>
      </xdr:spPr>
    </xdr:pic>
    <xdr:clientData/>
  </xdr:twoCellAnchor>
  <xdr:twoCellAnchor editAs="oneCell">
    <xdr:from>
      <xdr:col>19</xdr:col>
      <xdr:colOff>276225</xdr:colOff>
      <xdr:row>18</xdr:row>
      <xdr:rowOff>104775</xdr:rowOff>
    </xdr:from>
    <xdr:to>
      <xdr:col>37</xdr:col>
      <xdr:colOff>47625</xdr:colOff>
      <xdr:row>35</xdr:row>
      <xdr:rowOff>57150</xdr:rowOff>
    </xdr:to>
    <xdr:pic>
      <xdr:nvPicPr>
        <xdr:cNvPr id="2" name="Bild 2">
          <a:extLst>
            <a:ext uri="{FF2B5EF4-FFF2-40B4-BE49-F238E27FC236}">
              <a16:creationId xmlns:a16="http://schemas.microsoft.com/office/drawing/2014/main" id="{7A1B7A95-A58A-4244-80F8-493083B8CFE0}"/>
            </a:ext>
            <a:ext uri="{147F2762-F138-4A5C-976F-8EAC2B608ADB}">
              <a16:predDERef xmlns:a16="http://schemas.microsoft.com/office/drawing/2014/main" pred="{D8ED15BB-20EA-422D-A42B-E290F91B87C2}"/>
            </a:ext>
          </a:extLst>
        </xdr:cNvPr>
        <xdr:cNvPicPr>
          <a:picLocks noChangeAspect="1"/>
        </xdr:cNvPicPr>
      </xdr:nvPicPr>
      <xdr:blipFill>
        <a:blip xmlns:r="http://schemas.openxmlformats.org/officeDocument/2006/relationships" r:embed="rId8"/>
        <a:stretch>
          <a:fillRect/>
        </a:stretch>
      </xdr:blipFill>
      <xdr:spPr>
        <a:xfrm>
          <a:off x="6610350" y="3019425"/>
          <a:ext cx="5857875" cy="27051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20</xdr:col>
      <xdr:colOff>0</xdr:colOff>
      <xdr:row>2</xdr:row>
      <xdr:rowOff>0</xdr:rowOff>
    </xdr:from>
    <xdr:to>
      <xdr:col>33</xdr:col>
      <xdr:colOff>219075</xdr:colOff>
      <xdr:row>16</xdr:row>
      <xdr:rowOff>76200</xdr:rowOff>
    </xdr:to>
    <xdr:pic>
      <xdr:nvPicPr>
        <xdr:cNvPr id="26" name="Bild 13">
          <a:extLst>
            <a:ext uri="{FF2B5EF4-FFF2-40B4-BE49-F238E27FC236}">
              <a16:creationId xmlns:a16="http://schemas.microsoft.com/office/drawing/2014/main" id="{E44ACD7F-F9BF-4C1C-9FAC-7B62D718AB2D}"/>
            </a:ext>
            <a:ext uri="{147F2762-F138-4A5C-976F-8EAC2B608ADB}">
              <a16:predDERef xmlns:a16="http://schemas.microsoft.com/office/drawing/2014/main" pred="{FE1DDC4C-C022-C00F-D209-F635F1F56BFD}"/>
            </a:ext>
          </a:extLst>
        </xdr:cNvPr>
        <xdr:cNvPicPr>
          <a:picLocks noChangeAspect="1"/>
        </xdr:cNvPicPr>
      </xdr:nvPicPr>
      <xdr:blipFill>
        <a:blip xmlns:r="http://schemas.openxmlformats.org/officeDocument/2006/relationships" r:embed="rId1"/>
        <a:stretch>
          <a:fillRect/>
        </a:stretch>
      </xdr:blipFill>
      <xdr:spPr>
        <a:xfrm>
          <a:off x="6667500" y="323850"/>
          <a:ext cx="4638675" cy="2343150"/>
        </a:xfrm>
        <a:prstGeom prst="rect">
          <a:avLst/>
        </a:prstGeom>
      </xdr:spPr>
    </xdr:pic>
    <xdr:clientData/>
  </xdr:twoCellAnchor>
  <xdr:twoCellAnchor editAs="oneCell">
    <xdr:from>
      <xdr:col>19</xdr:col>
      <xdr:colOff>161925</xdr:colOff>
      <xdr:row>18</xdr:row>
      <xdr:rowOff>57150</xdr:rowOff>
    </xdr:from>
    <xdr:to>
      <xdr:col>35</xdr:col>
      <xdr:colOff>257175</xdr:colOff>
      <xdr:row>29</xdr:row>
      <xdr:rowOff>19050</xdr:rowOff>
    </xdr:to>
    <xdr:pic>
      <xdr:nvPicPr>
        <xdr:cNvPr id="53" name="Bild 17">
          <a:extLst>
            <a:ext uri="{FF2B5EF4-FFF2-40B4-BE49-F238E27FC236}">
              <a16:creationId xmlns:a16="http://schemas.microsoft.com/office/drawing/2014/main" id="{9E909ABE-2099-7D65-2DFE-9D645A5DAF70}"/>
            </a:ext>
            <a:ext uri="{147F2762-F138-4A5C-976F-8EAC2B608ADB}">
              <a16:predDERef xmlns:a16="http://schemas.microsoft.com/office/drawing/2014/main" pred="{E44ACD7F-F9BF-4C1C-9FAC-7B62D718AB2D}"/>
            </a:ext>
          </a:extLst>
        </xdr:cNvPr>
        <xdr:cNvPicPr>
          <a:picLocks noChangeAspect="1"/>
        </xdr:cNvPicPr>
      </xdr:nvPicPr>
      <xdr:blipFill>
        <a:blip xmlns:r="http://schemas.openxmlformats.org/officeDocument/2006/relationships" r:embed="rId2"/>
        <a:stretch>
          <a:fillRect/>
        </a:stretch>
      </xdr:blipFill>
      <xdr:spPr>
        <a:xfrm>
          <a:off x="6496050" y="2971800"/>
          <a:ext cx="5514975" cy="1743075"/>
        </a:xfrm>
        <a:prstGeom prst="rect">
          <a:avLst/>
        </a:prstGeom>
      </xdr:spPr>
    </xdr:pic>
    <xdr:clientData/>
  </xdr:twoCellAnchor>
  <xdr:twoCellAnchor editAs="oneCell">
    <xdr:from>
      <xdr:col>1</xdr:col>
      <xdr:colOff>0</xdr:colOff>
      <xdr:row>17</xdr:row>
      <xdr:rowOff>0</xdr:rowOff>
    </xdr:from>
    <xdr:to>
      <xdr:col>14</xdr:col>
      <xdr:colOff>238125</xdr:colOff>
      <xdr:row>31</xdr:row>
      <xdr:rowOff>19050</xdr:rowOff>
    </xdr:to>
    <xdr:pic>
      <xdr:nvPicPr>
        <xdr:cNvPr id="55" name="Bild 11">
          <a:extLst>
            <a:ext uri="{FF2B5EF4-FFF2-40B4-BE49-F238E27FC236}">
              <a16:creationId xmlns:a16="http://schemas.microsoft.com/office/drawing/2014/main" id="{2116FE14-6B05-412E-8E47-8912E74748E9}"/>
            </a:ext>
            <a:ext uri="{147F2762-F138-4A5C-976F-8EAC2B608ADB}">
              <a16:predDERef xmlns:a16="http://schemas.microsoft.com/office/drawing/2014/main" pred="{9E909ABE-2099-7D65-2DFE-9D645A5DAF70}"/>
            </a:ext>
          </a:extLst>
        </xdr:cNvPr>
        <xdr:cNvPicPr>
          <a:picLocks noChangeAspect="1"/>
        </xdr:cNvPicPr>
      </xdr:nvPicPr>
      <xdr:blipFill>
        <a:blip xmlns:r="http://schemas.openxmlformats.org/officeDocument/2006/relationships" r:embed="rId3"/>
        <a:stretch>
          <a:fillRect/>
        </a:stretch>
      </xdr:blipFill>
      <xdr:spPr>
        <a:xfrm>
          <a:off x="333375" y="2752725"/>
          <a:ext cx="4572000" cy="2286000"/>
        </a:xfrm>
        <a:prstGeom prst="rect">
          <a:avLst/>
        </a:prstGeom>
      </xdr:spPr>
    </xdr:pic>
    <xdr:clientData/>
  </xdr:twoCellAnchor>
  <xdr:twoCellAnchor editAs="oneCell">
    <xdr:from>
      <xdr:col>1</xdr:col>
      <xdr:colOff>0</xdr:colOff>
      <xdr:row>33</xdr:row>
      <xdr:rowOff>0</xdr:rowOff>
    </xdr:from>
    <xdr:to>
      <xdr:col>15</xdr:col>
      <xdr:colOff>123825</xdr:colOff>
      <xdr:row>49</xdr:row>
      <xdr:rowOff>28575</xdr:rowOff>
    </xdr:to>
    <xdr:pic>
      <xdr:nvPicPr>
        <xdr:cNvPr id="61" name="Bild 19">
          <a:extLst>
            <a:ext uri="{FF2B5EF4-FFF2-40B4-BE49-F238E27FC236}">
              <a16:creationId xmlns:a16="http://schemas.microsoft.com/office/drawing/2014/main" id="{FDC8CDF1-24DF-4535-9A4C-5D96DDBC175B}"/>
            </a:ext>
            <a:ext uri="{147F2762-F138-4A5C-976F-8EAC2B608ADB}">
              <a16:predDERef xmlns:a16="http://schemas.microsoft.com/office/drawing/2014/main" pred="{2116FE14-6B05-412E-8E47-8912E74748E9}"/>
            </a:ext>
          </a:extLst>
        </xdr:cNvPr>
        <xdr:cNvPicPr>
          <a:picLocks noChangeAspect="1"/>
        </xdr:cNvPicPr>
      </xdr:nvPicPr>
      <xdr:blipFill>
        <a:blip xmlns:r="http://schemas.openxmlformats.org/officeDocument/2006/relationships" r:embed="rId4"/>
        <a:stretch>
          <a:fillRect/>
        </a:stretch>
      </xdr:blipFill>
      <xdr:spPr>
        <a:xfrm>
          <a:off x="333375" y="5343525"/>
          <a:ext cx="4791075" cy="26193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133350</xdr:colOff>
      <xdr:row>7</xdr:row>
      <xdr:rowOff>0</xdr:rowOff>
    </xdr:from>
    <xdr:to>
      <xdr:col>18</xdr:col>
      <xdr:colOff>295275</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67100"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38163" y="1633538"/>
          <a:ext cx="5857875" cy="2895600"/>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114300</xdr:colOff>
      <xdr:row>9</xdr:row>
      <xdr:rowOff>47625</xdr:rowOff>
    </xdr:from>
    <xdr:to>
      <xdr:col>16</xdr:col>
      <xdr:colOff>276225</xdr:colOff>
      <xdr:row>13</xdr:row>
      <xdr:rowOff>85725</xdr:rowOff>
    </xdr:to>
    <xdr:sp macro="" textlink="">
      <xdr:nvSpPr>
        <xdr:cNvPr id="2" name="Textfeld 1">
          <a:extLst>
            <a:ext uri="{FF2B5EF4-FFF2-40B4-BE49-F238E27FC236}">
              <a16:creationId xmlns:a16="http://schemas.microsoft.com/office/drawing/2014/main" id="{B2E8F4F5-7B89-42C7-A975-427F91DDEF9C}"/>
            </a:ext>
            <a:ext uri="{147F2762-F138-4A5C-976F-8EAC2B608ADB}">
              <a16:predDERef xmlns:a16="http://schemas.microsoft.com/office/drawing/2014/main" pred="{C5A200DA-F92D-41B7-99F4-6FCCB70F50EE}"/>
            </a:ext>
          </a:extLst>
        </xdr:cNvPr>
        <xdr:cNvSpPr txBox="1"/>
      </xdr:nvSpPr>
      <xdr:spPr>
        <a:xfrm>
          <a:off x="4219575" y="1504950"/>
          <a:ext cx="1495425"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mn-lt"/>
              <a:ea typeface="+mn-lt"/>
              <a:cs typeface="+mn-lt"/>
            </a:rPr>
            <a:t>Higher Peak:</a:t>
          </a:r>
        </a:p>
        <a:p>
          <a:pPr marL="0" indent="0"/>
          <a:r>
            <a:rPr lang="en-US" sz="1200" b="1">
              <a:solidFill>
                <a:schemeClr val="dk1"/>
              </a:solidFill>
              <a:latin typeface="+mn-lt"/>
              <a:ea typeface="+mn-lt"/>
              <a:cs typeface="+mn-lt"/>
            </a:rPr>
            <a:t>T3.14 / T3.15</a:t>
          </a:r>
          <a:br>
            <a:rPr lang="en-US" sz="1200" b="1">
              <a:solidFill>
                <a:schemeClr val="dk1"/>
              </a:solidFill>
              <a:latin typeface="+mn-lt"/>
              <a:ea typeface="+mn-lt"/>
              <a:cs typeface="+mn-lt"/>
            </a:rPr>
          </a:br>
          <a:r>
            <a:rPr lang="en-US" sz="1200" b="1">
              <a:solidFill>
                <a:schemeClr val="dk1"/>
              </a:solidFill>
              <a:latin typeface="+mn-lt"/>
              <a:ea typeface="+mn-lt"/>
              <a:cs typeface="+mn-lt"/>
            </a:rPr>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37</xdr:row>
      <xdr:rowOff>19050</xdr:rowOff>
    </xdr:from>
    <xdr:to>
      <xdr:col>18</xdr:col>
      <xdr:colOff>0</xdr:colOff>
      <xdr:row>51</xdr:row>
      <xdr:rowOff>19050</xdr:rowOff>
    </xdr:to>
    <xdr:pic>
      <xdr:nvPicPr>
        <xdr:cNvPr id="4" name="Bild 3">
          <a:extLst>
            <a:ext uri="{FF2B5EF4-FFF2-40B4-BE49-F238E27FC236}">
              <a16:creationId xmlns:a16="http://schemas.microsoft.com/office/drawing/2014/main" id="{B239817F-F544-3626-D844-AB77081A635E}"/>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1"/>
        <a:stretch>
          <a:fillRect/>
        </a:stretch>
      </xdr:blipFill>
      <xdr:spPr>
        <a:xfrm>
          <a:off x="333375" y="6010275"/>
          <a:ext cx="5667375" cy="2266950"/>
        </a:xfrm>
        <a:prstGeom prst="rect">
          <a:avLst/>
        </a:prstGeom>
      </xdr:spPr>
    </xdr:pic>
    <xdr:clientData/>
  </xdr:twoCellAnchor>
  <xdr:twoCellAnchor editAs="oneCell">
    <xdr:from>
      <xdr:col>1</xdr:col>
      <xdr:colOff>19050</xdr:colOff>
      <xdr:row>7</xdr:row>
      <xdr:rowOff>152400</xdr:rowOff>
    </xdr:from>
    <xdr:to>
      <xdr:col>17</xdr:col>
      <xdr:colOff>228600</xdr:colOff>
      <xdr:row>23</xdr:row>
      <xdr:rowOff>76200</xdr:rowOff>
    </xdr:to>
    <xdr:pic>
      <xdr:nvPicPr>
        <xdr:cNvPr id="3" name="Bild 2">
          <a:extLst>
            <a:ext uri="{FF2B5EF4-FFF2-40B4-BE49-F238E27FC236}">
              <a16:creationId xmlns:a16="http://schemas.microsoft.com/office/drawing/2014/main" id="{8C50661D-E16B-5A5B-1CC5-9CD9055269A1}"/>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2"/>
        <a:stretch>
          <a:fillRect/>
        </a:stretch>
      </xdr:blipFill>
      <xdr:spPr>
        <a:xfrm>
          <a:off x="352425" y="1285875"/>
          <a:ext cx="5543550" cy="2514600"/>
        </a:xfrm>
        <a:prstGeom prst="rect">
          <a:avLst/>
        </a:prstGeom>
      </xdr:spPr>
    </xdr:pic>
    <xdr:clientData/>
  </xdr:two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xdr:colOff>
      <xdr:row>9</xdr:row>
      <xdr:rowOff>58616</xdr:rowOff>
    </xdr:from>
    <xdr:to>
      <xdr:col>13</xdr:col>
      <xdr:colOff>99843</xdr:colOff>
      <xdr:row>26</xdr:row>
      <xdr:rowOff>153866</xdr:rowOff>
    </xdr:to>
    <xdr:pic>
      <xdr:nvPicPr>
        <xdr:cNvPr id="2" name="Grafik 1">
          <a:extLst>
            <a:ext uri="{FF2B5EF4-FFF2-40B4-BE49-F238E27FC236}">
              <a16:creationId xmlns:a16="http://schemas.microsoft.com/office/drawing/2014/main" id="{F5833300-6863-BE15-2DA5-3ADA7A3D8F94}"/>
            </a:ext>
          </a:extLst>
        </xdr:cNvPr>
        <xdr:cNvPicPr>
          <a:picLocks noChangeAspect="1"/>
        </xdr:cNvPicPr>
      </xdr:nvPicPr>
      <xdr:blipFill>
        <a:blip xmlns:r="http://schemas.openxmlformats.org/officeDocument/2006/relationships" r:embed="rId1"/>
        <a:stretch>
          <a:fillRect/>
        </a:stretch>
      </xdr:blipFill>
      <xdr:spPr>
        <a:xfrm>
          <a:off x="337039" y="1509347"/>
          <a:ext cx="4144304" cy="2835519"/>
        </a:xfrm>
        <a:prstGeom prst="rect">
          <a:avLst/>
        </a:prstGeom>
      </xdr:spPr>
    </xdr:pic>
    <xdr:clientData/>
  </xdr:twoCellAnchor>
  <xdr:twoCellAnchor editAs="oneCell">
    <xdr:from>
      <xdr:col>2</xdr:col>
      <xdr:colOff>16670</xdr:colOff>
      <xdr:row>26</xdr:row>
      <xdr:rowOff>150056</xdr:rowOff>
    </xdr:from>
    <xdr:to>
      <xdr:col>13</xdr:col>
      <xdr:colOff>99060</xdr:colOff>
      <xdr:row>42</xdr:row>
      <xdr:rowOff>126163</xdr:rowOff>
    </xdr:to>
    <xdr:pic>
      <xdr:nvPicPr>
        <xdr:cNvPr id="3" name="Grafik 2">
          <a:extLst>
            <a:ext uri="{FF2B5EF4-FFF2-40B4-BE49-F238E27FC236}">
              <a16:creationId xmlns:a16="http://schemas.microsoft.com/office/drawing/2014/main" id="{15AB6A72-5D41-6958-0BDE-83A354193816}"/>
            </a:ext>
          </a:extLst>
        </xdr:cNvPr>
        <xdr:cNvPicPr>
          <a:picLocks noChangeAspect="1"/>
        </xdr:cNvPicPr>
      </xdr:nvPicPr>
      <xdr:blipFill>
        <a:blip xmlns:r="http://schemas.openxmlformats.org/officeDocument/2006/relationships" r:embed="rId2"/>
        <a:stretch>
          <a:fillRect/>
        </a:stretch>
      </xdr:blipFill>
      <xdr:spPr>
        <a:xfrm>
          <a:off x="690747" y="4341056"/>
          <a:ext cx="3789813" cy="255445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15</xdr:col>
      <xdr:colOff>161925</xdr:colOff>
      <xdr:row>2</xdr:row>
      <xdr:rowOff>66675</xdr:rowOff>
    </xdr:from>
    <xdr:to>
      <xdr:col>18</xdr:col>
      <xdr:colOff>98882</xdr:colOff>
      <xdr:row>17</xdr:row>
      <xdr:rowOff>44450</xdr:rowOff>
    </xdr:to>
    <xdr:grpSp>
      <xdr:nvGrpSpPr>
        <xdr:cNvPr id="2" name="Group 12">
          <a:extLst>
            <a:ext uri="{FF2B5EF4-FFF2-40B4-BE49-F238E27FC236}">
              <a16:creationId xmlns:a16="http://schemas.microsoft.com/office/drawing/2014/main" id="{24DD04E5-57A3-C3F0-777D-8F57267F7A07}"/>
            </a:ext>
          </a:extLst>
        </xdr:cNvPr>
        <xdr:cNvGrpSpPr/>
      </xdr:nvGrpSpPr>
      <xdr:grpSpPr>
        <a:xfrm>
          <a:off x="5519738" y="395288"/>
          <a:ext cx="1008519" cy="2411412"/>
          <a:chOff x="8500674" y="3867150"/>
          <a:chExt cx="937082" cy="2406650"/>
        </a:xfrm>
      </xdr:grpSpPr>
      <xdr:pic>
        <xdr:nvPicPr>
          <xdr:cNvPr id="3" name="Grafik 2">
            <a:extLst>
              <a:ext uri="{FF2B5EF4-FFF2-40B4-BE49-F238E27FC236}">
                <a16:creationId xmlns:a16="http://schemas.microsoft.com/office/drawing/2014/main" id="{DDBFD802-4DCA-09AA-4BE7-6E6308B8F214}"/>
              </a:ext>
            </a:extLst>
          </xdr:cNvPr>
          <xdr:cNvPicPr>
            <a:picLocks noChangeAspect="1"/>
          </xdr:cNvPicPr>
        </xdr:nvPicPr>
        <xdr:blipFill>
          <a:blip xmlns:r="http://schemas.openxmlformats.org/officeDocument/2006/relationships" r:embed="rId1"/>
          <a:stretch>
            <a:fillRect/>
          </a:stretch>
        </xdr:blipFill>
        <xdr:spPr>
          <a:xfrm>
            <a:off x="8500674" y="3867150"/>
            <a:ext cx="937082" cy="2406650"/>
          </a:xfrm>
          <a:prstGeom prst="rect">
            <a:avLst/>
          </a:prstGeom>
        </xdr:spPr>
      </xdr:pic>
      <xdr:sp macro="" textlink="">
        <xdr:nvSpPr>
          <xdr:cNvPr id="4" name="Textfeld 13">
            <a:extLst>
              <a:ext uri="{FF2B5EF4-FFF2-40B4-BE49-F238E27FC236}">
                <a16:creationId xmlns:a16="http://schemas.microsoft.com/office/drawing/2014/main" id="{83E3388E-32CA-E164-BBE7-B18F7DFE158B}"/>
              </a:ext>
            </a:extLst>
          </xdr:cNvPr>
          <xdr:cNvSpPr txBox="1"/>
        </xdr:nvSpPr>
        <xdr:spPr>
          <a:xfrm rot="16200000">
            <a:off x="8547500" y="4914900"/>
            <a:ext cx="998991" cy="369332"/>
          </a:xfrm>
          <a:prstGeom prst="rect">
            <a:avLst/>
          </a:prstGeom>
          <a:noFill/>
        </xdr:spPr>
        <xdr:txBody>
          <a:bodyPr wrap="square" rtlCol="0">
            <a:sp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e-DE">
                <a:solidFill>
                  <a:srgbClr val="FF0000"/>
                </a:solidFill>
              </a:rPr>
              <a:t>&gt;80 %</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14</xdr:col>
      <xdr:colOff>238125</xdr:colOff>
      <xdr:row>22</xdr:row>
      <xdr:rowOff>28575</xdr:rowOff>
    </xdr:to>
    <xdr:pic>
      <xdr:nvPicPr>
        <xdr:cNvPr id="6" name="Picture 6">
          <a:extLst>
            <a:ext uri="{FF2B5EF4-FFF2-40B4-BE49-F238E27FC236}">
              <a16:creationId xmlns:a16="http://schemas.microsoft.com/office/drawing/2014/main" id="{766AE5D7-02C7-4289-902A-0EC4CB1CE623}"/>
            </a:ext>
            <a:ext uri="{147F2762-F138-4A5C-976F-8EAC2B608ADB}">
              <a16:predDERef xmlns:a16="http://schemas.microsoft.com/office/drawing/2014/main" pred="{24DD04E5-57A3-C3F0-777D-8F57267F7A07}"/>
            </a:ext>
          </a:extLst>
        </xdr:cNvPr>
        <xdr:cNvPicPr>
          <a:picLocks noChangeAspect="1"/>
        </xdr:cNvPicPr>
      </xdr:nvPicPr>
      <xdr:blipFill>
        <a:blip xmlns:r="http://schemas.openxmlformats.org/officeDocument/2006/relationships" r:embed="rId1"/>
        <a:stretch>
          <a:fillRect/>
        </a:stretch>
      </xdr:blipFill>
      <xdr:spPr>
        <a:xfrm>
          <a:off x="333375" y="1295400"/>
          <a:ext cx="4572000" cy="22955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81038" y="4433888"/>
          <a:ext cx="5438775" cy="4686300"/>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10158413" y="1109663"/>
          <a:ext cx="2838450" cy="355282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381875" y="1119188"/>
          <a:ext cx="2700338" cy="357187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4.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47763" y="3714750"/>
          <a:ext cx="4505325" cy="2667000"/>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mailto:amaury.blanque@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w.youtube.com/watch?v=dQw4w9WgXcQ"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youtube.com/watch?v=dQw4w9WgXcQ"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youtube.com/watch?v=dQw4w9WgXcQ"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dQw4w9WgXcQ"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5.bin"/><Relationship Id="rId4"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8.bin"/><Relationship Id="rId4"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20.bin"/><Relationship Id="rId4" Type="http://schemas.openxmlformats.org/officeDocument/2006/relationships/comments" Target="../comments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2" topLeftCell="A26" activePane="bottomLeft" state="frozenSplit"/>
      <selection pane="bottomLeft" activeCell="A39" sqref="A39"/>
    </sheetView>
  </sheetViews>
  <sheetFormatPr baseColWidth="10" defaultColWidth="11.46484375" defaultRowHeight="12.75"/>
  <cols>
    <col min="1" max="1" width="9.1328125" style="309" customWidth="1"/>
    <col min="2" max="2" width="11" style="309" bestFit="1" customWidth="1"/>
    <col min="3" max="16384" width="11.46484375" style="309"/>
  </cols>
  <sheetData>
    <row r="1" spans="1:16" ht="13.15">
      <c r="A1" s="765">
        <v>2024</v>
      </c>
      <c r="B1" s="764" t="s">
        <v>1009</v>
      </c>
      <c r="C1" s="766" t="s">
        <v>1</v>
      </c>
      <c r="D1" s="766"/>
      <c r="E1" s="766"/>
      <c r="F1" s="1005"/>
      <c r="G1" s="767"/>
      <c r="H1" s="767"/>
      <c r="I1" s="767"/>
      <c r="J1" s="767"/>
      <c r="K1" s="767"/>
      <c r="L1" s="767"/>
      <c r="M1" s="767"/>
      <c r="N1" s="767"/>
      <c r="O1" s="767"/>
      <c r="P1" s="768"/>
    </row>
    <row r="2" spans="1:16">
      <c r="A2" s="407"/>
      <c r="P2" s="769"/>
    </row>
    <row r="3" spans="1:16">
      <c r="A3" s="1056" t="s">
        <v>2</v>
      </c>
      <c r="B3" s="1057"/>
      <c r="C3" s="1057"/>
      <c r="D3" s="1057"/>
      <c r="E3" s="1057"/>
      <c r="F3" s="1057"/>
      <c r="G3" s="1057"/>
      <c r="H3" s="1057"/>
      <c r="I3" s="1057"/>
      <c r="J3" s="1057"/>
      <c r="K3" s="1057"/>
      <c r="L3" s="1057"/>
      <c r="M3" s="1057"/>
      <c r="N3" s="1057"/>
      <c r="O3" s="1057"/>
      <c r="P3" s="769"/>
    </row>
    <row r="4" spans="1:16">
      <c r="A4" s="770"/>
      <c r="B4" s="647"/>
      <c r="C4" s="647"/>
      <c r="D4" s="647"/>
      <c r="E4" s="647"/>
      <c r="F4" s="647"/>
      <c r="G4" s="647"/>
      <c r="H4" s="647"/>
      <c r="I4" s="647"/>
      <c r="J4" s="647"/>
      <c r="K4" s="647"/>
      <c r="L4" s="647"/>
      <c r="M4" s="647"/>
      <c r="N4" s="647"/>
      <c r="O4" s="647"/>
      <c r="P4" s="769"/>
    </row>
    <row r="5" spans="1:16" ht="13.15">
      <c r="A5" s="771" t="s">
        <v>3</v>
      </c>
      <c r="B5" s="647"/>
      <c r="C5" s="647"/>
      <c r="D5" s="647"/>
      <c r="E5" s="647"/>
      <c r="F5" s="647"/>
      <c r="G5" s="647"/>
      <c r="H5" s="647"/>
      <c r="I5" s="647"/>
      <c r="J5" s="647"/>
      <c r="K5" s="647"/>
      <c r="L5" s="647"/>
      <c r="M5" s="647"/>
      <c r="N5" s="647"/>
      <c r="O5" s="647"/>
      <c r="P5" s="769"/>
    </row>
    <row r="6" spans="1:16" ht="13.15">
      <c r="A6" s="771"/>
      <c r="B6" s="647"/>
      <c r="C6" s="647"/>
      <c r="D6" s="647"/>
      <c r="E6" s="647"/>
      <c r="F6" s="647"/>
      <c r="G6" s="647"/>
      <c r="H6" s="647"/>
      <c r="I6" s="647"/>
      <c r="J6" s="647"/>
      <c r="K6" s="647"/>
      <c r="L6" s="647"/>
      <c r="M6" s="647"/>
      <c r="N6" s="647"/>
      <c r="O6" s="647"/>
      <c r="P6" s="769"/>
    </row>
    <row r="7" spans="1:16" ht="13.15">
      <c r="A7" s="771" t="s">
        <v>4</v>
      </c>
      <c r="B7" s="647"/>
      <c r="C7" s="647"/>
      <c r="D7" s="647"/>
      <c r="E7" s="647"/>
      <c r="F7" s="647"/>
      <c r="G7" s="647"/>
      <c r="H7" s="647"/>
      <c r="I7" s="647"/>
      <c r="J7" s="647"/>
      <c r="K7" s="647"/>
      <c r="L7" s="647"/>
      <c r="M7" s="647"/>
      <c r="N7" s="647"/>
      <c r="O7" s="647"/>
      <c r="P7" s="769"/>
    </row>
    <row r="8" spans="1:16" ht="13.15">
      <c r="A8" s="771"/>
      <c r="B8" s="647"/>
      <c r="C8" s="647"/>
      <c r="D8" s="647"/>
      <c r="E8" s="647"/>
      <c r="F8" s="647"/>
      <c r="G8" s="647"/>
      <c r="H8" s="647"/>
      <c r="I8" s="647"/>
      <c r="J8" s="647"/>
      <c r="K8" s="647"/>
      <c r="L8" s="647"/>
      <c r="M8" s="647"/>
      <c r="N8" s="647"/>
      <c r="O8" s="647"/>
      <c r="P8" s="769"/>
    </row>
    <row r="9" spans="1:16" ht="13.15">
      <c r="A9" s="772" t="s">
        <v>5</v>
      </c>
      <c r="B9" s="647"/>
      <c r="C9" s="647"/>
      <c r="D9" s="647"/>
      <c r="E9" s="647"/>
      <c r="F9" s="647"/>
      <c r="G9" s="647"/>
      <c r="H9" s="647"/>
      <c r="I9" s="647"/>
      <c r="J9" s="647"/>
      <c r="K9" s="647"/>
      <c r="L9" s="647"/>
      <c r="M9" s="647"/>
      <c r="N9" s="647"/>
      <c r="O9" s="647"/>
      <c r="P9" s="769"/>
    </row>
    <row r="10" spans="1:16" ht="13.15">
      <c r="A10" s="771"/>
      <c r="B10" s="647"/>
      <c r="C10" s="647"/>
      <c r="D10" s="647"/>
      <c r="E10" s="647"/>
      <c r="F10" s="647"/>
      <c r="G10" s="647"/>
      <c r="H10" s="647"/>
      <c r="I10" s="647"/>
      <c r="J10" s="647"/>
      <c r="K10" s="647"/>
      <c r="L10" s="647"/>
      <c r="M10" s="647"/>
      <c r="N10" s="647"/>
      <c r="O10" s="647"/>
      <c r="P10" s="769"/>
    </row>
    <row r="11" spans="1:16">
      <c r="A11" s="1056" t="s">
        <v>6</v>
      </c>
      <c r="B11" s="1057"/>
      <c r="C11" s="1057"/>
      <c r="D11" s="1057"/>
      <c r="E11" s="1057"/>
      <c r="F11" s="1057"/>
      <c r="G11" s="1057"/>
      <c r="H11" s="1057"/>
      <c r="I11" s="1057"/>
      <c r="J11" s="1057"/>
      <c r="K11" s="1057"/>
      <c r="L11" s="1057"/>
      <c r="M11" s="1057"/>
      <c r="N11" s="1057"/>
      <c r="O11" s="1057"/>
      <c r="P11" s="1058"/>
    </row>
    <row r="12" spans="1:16">
      <c r="A12" s="1056" t="s">
        <v>7</v>
      </c>
      <c r="B12" s="1057"/>
      <c r="C12" s="1057"/>
      <c r="D12" s="1057"/>
      <c r="E12" s="1057"/>
      <c r="F12" s="1057"/>
      <c r="G12" s="1057"/>
      <c r="H12" s="1057"/>
      <c r="I12" s="1057"/>
      <c r="J12" s="1057"/>
      <c r="K12" s="1057"/>
      <c r="L12" s="1057"/>
      <c r="M12" s="1057"/>
      <c r="N12" s="1057"/>
      <c r="O12" s="1057"/>
      <c r="P12" s="1058"/>
    </row>
    <row r="13" spans="1:16" ht="25.5" customHeight="1">
      <c r="A13" s="1059" t="s">
        <v>8</v>
      </c>
      <c r="B13" s="1054"/>
      <c r="C13" s="1054"/>
      <c r="D13" s="1054"/>
      <c r="E13" s="1054"/>
      <c r="F13" s="1054"/>
      <c r="G13" s="1054"/>
      <c r="H13" s="1054"/>
      <c r="I13" s="1054"/>
      <c r="J13" s="1054"/>
      <c r="K13" s="1054"/>
      <c r="L13" s="1054"/>
      <c r="M13" s="1054"/>
      <c r="N13" s="1054"/>
      <c r="O13" s="1054"/>
      <c r="P13" s="1055"/>
    </row>
    <row r="14" spans="1:16" ht="25.5" customHeight="1">
      <c r="A14" s="1053" t="s">
        <v>9</v>
      </c>
      <c r="B14" s="1054"/>
      <c r="C14" s="1054"/>
      <c r="D14" s="1054"/>
      <c r="E14" s="1054"/>
      <c r="F14" s="1054"/>
      <c r="G14" s="1054"/>
      <c r="H14" s="1054"/>
      <c r="I14" s="1054"/>
      <c r="J14" s="1054"/>
      <c r="K14" s="1054"/>
      <c r="L14" s="1054"/>
      <c r="M14" s="1054"/>
      <c r="N14" s="1054"/>
      <c r="O14" s="1054"/>
      <c r="P14" s="1055"/>
    </row>
    <row r="15" spans="1:16" ht="13.15">
      <c r="A15" s="771" t="s">
        <v>10</v>
      </c>
      <c r="B15" s="773"/>
      <c r="C15" s="773"/>
      <c r="D15" s="773"/>
      <c r="E15" s="773"/>
      <c r="F15" s="773"/>
      <c r="G15" s="773"/>
      <c r="H15" s="773"/>
      <c r="I15" s="773"/>
      <c r="J15" s="773"/>
      <c r="K15" s="773"/>
      <c r="L15" s="773"/>
      <c r="M15" s="773"/>
      <c r="N15" s="773"/>
      <c r="O15" s="773"/>
      <c r="P15" s="774"/>
    </row>
    <row r="16" spans="1:16">
      <c r="A16" s="775"/>
      <c r="B16" s="773"/>
      <c r="C16" s="773"/>
      <c r="D16" s="773"/>
      <c r="E16" s="773"/>
      <c r="F16" s="773"/>
      <c r="G16" s="773"/>
      <c r="H16" s="773"/>
      <c r="I16" s="773"/>
      <c r="J16" s="773"/>
      <c r="K16" s="773"/>
      <c r="L16" s="773"/>
      <c r="M16" s="773"/>
      <c r="N16" s="773"/>
      <c r="O16" s="773"/>
      <c r="P16" s="774"/>
    </row>
    <row r="17" spans="1:16" ht="13.15">
      <c r="A17" s="776" t="s">
        <v>11</v>
      </c>
      <c r="P17" s="769"/>
    </row>
    <row r="18" spans="1:16" ht="13.15">
      <c r="A18" s="776" t="s">
        <v>12</v>
      </c>
      <c r="P18" s="769"/>
    </row>
    <row r="19" spans="1:16" ht="13.5" thickBot="1">
      <c r="A19" s="776"/>
      <c r="P19" s="769"/>
    </row>
    <row r="20" spans="1:16" ht="13.5" thickBot="1">
      <c r="A20" s="407"/>
      <c r="B20" s="1050" t="s">
        <v>13</v>
      </c>
      <c r="C20" s="1051"/>
      <c r="D20" s="1051"/>
      <c r="E20" s="1051"/>
      <c r="F20" s="1051"/>
      <c r="G20" s="1051"/>
      <c r="H20" s="1051"/>
      <c r="I20" s="1052"/>
      <c r="P20" s="769"/>
    </row>
    <row r="21" spans="1:16">
      <c r="A21" s="407"/>
      <c r="P21" s="769"/>
    </row>
    <row r="22" spans="1:16" s="764" customFormat="1" ht="13.15">
      <c r="A22" s="776" t="s">
        <v>14</v>
      </c>
      <c r="P22" s="777"/>
    </row>
    <row r="23" spans="1:16">
      <c r="A23" s="778" t="s">
        <v>0</v>
      </c>
      <c r="B23" s="779" t="s">
        <v>15</v>
      </c>
      <c r="C23" s="779"/>
      <c r="P23" s="769"/>
    </row>
    <row r="24" spans="1:16">
      <c r="A24" s="778"/>
      <c r="B24" s="781" t="s">
        <v>16</v>
      </c>
      <c r="P24" s="769"/>
    </row>
    <row r="25" spans="1:16">
      <c r="A25" s="778"/>
      <c r="B25" s="781" t="s">
        <v>17</v>
      </c>
      <c r="P25" s="769"/>
    </row>
    <row r="26" spans="1:16">
      <c r="A26" s="778"/>
      <c r="B26" s="781" t="s">
        <v>18</v>
      </c>
      <c r="P26" s="769"/>
    </row>
    <row r="27" spans="1:16">
      <c r="A27" s="778"/>
      <c r="B27" s="780" t="s">
        <v>19</v>
      </c>
      <c r="C27" s="779"/>
      <c r="P27" s="769"/>
    </row>
    <row r="28" spans="1:16">
      <c r="A28" s="778"/>
      <c r="B28" s="781" t="s">
        <v>20</v>
      </c>
      <c r="C28" s="779"/>
      <c r="P28" s="769"/>
    </row>
    <row r="29" spans="1:16">
      <c r="A29" s="782"/>
      <c r="B29" s="781" t="s">
        <v>21</v>
      </c>
      <c r="C29" s="779"/>
      <c r="P29" s="769"/>
    </row>
    <row r="30" spans="1:16">
      <c r="A30" s="782"/>
      <c r="B30" s="781" t="s">
        <v>22</v>
      </c>
      <c r="C30" s="779"/>
      <c r="P30" s="769"/>
    </row>
    <row r="31" spans="1:16">
      <c r="A31" s="778"/>
      <c r="B31" s="781" t="s">
        <v>23</v>
      </c>
      <c r="C31" s="779"/>
      <c r="P31" s="769"/>
    </row>
    <row r="32" spans="1:16">
      <c r="A32" s="407"/>
      <c r="B32" s="781" t="s">
        <v>24</v>
      </c>
      <c r="C32" s="779"/>
      <c r="P32" s="769"/>
    </row>
    <row r="33" spans="1:16">
      <c r="A33" s="407"/>
      <c r="B33" s="543" t="s">
        <v>25</v>
      </c>
      <c r="C33" s="779"/>
      <c r="P33" s="769"/>
    </row>
    <row r="34" spans="1:16">
      <c r="A34" s="407"/>
      <c r="B34" s="780" t="s">
        <v>26</v>
      </c>
      <c r="C34" s="779"/>
      <c r="P34" s="769"/>
    </row>
    <row r="35" spans="1:16">
      <c r="A35" s="407"/>
      <c r="B35" s="780" t="s">
        <v>27</v>
      </c>
      <c r="C35" s="779"/>
      <c r="P35" s="769"/>
    </row>
    <row r="36" spans="1:16">
      <c r="A36" s="778"/>
      <c r="B36" s="781" t="s">
        <v>28</v>
      </c>
      <c r="C36" s="779"/>
      <c r="P36" s="769"/>
    </row>
    <row r="37" spans="1:16">
      <c r="A37" s="407"/>
      <c r="B37" s="780" t="s">
        <v>29</v>
      </c>
      <c r="C37" s="779"/>
      <c r="P37" s="769"/>
    </row>
    <row r="38" spans="1:16">
      <c r="A38" s="407"/>
      <c r="B38" s="781"/>
      <c r="P38" s="769"/>
    </row>
    <row r="39" spans="1:16">
      <c r="A39" s="778" t="s">
        <v>1009</v>
      </c>
      <c r="B39" s="779" t="s">
        <v>1010</v>
      </c>
      <c r="P39" s="769"/>
    </row>
    <row r="40" spans="1:16">
      <c r="A40" s="407"/>
      <c r="B40" s="780" t="s">
        <v>1011</v>
      </c>
      <c r="P40" s="769"/>
    </row>
    <row r="41" spans="1:16">
      <c r="A41" s="407"/>
      <c r="B41" s="780" t="s">
        <v>1012</v>
      </c>
      <c r="P41" s="769"/>
    </row>
    <row r="42" spans="1:16">
      <c r="A42" s="407"/>
      <c r="B42" s="780" t="s">
        <v>1013</v>
      </c>
      <c r="E42" s="779"/>
      <c r="P42" s="769"/>
    </row>
    <row r="43" spans="1:16">
      <c r="A43" s="407"/>
      <c r="B43" s="781"/>
      <c r="P43" s="769"/>
    </row>
    <row r="44" spans="1:16">
      <c r="A44" s="407"/>
      <c r="B44" s="780" t="s">
        <v>30</v>
      </c>
      <c r="P44" s="769"/>
    </row>
    <row r="45" spans="1:16">
      <c r="A45" s="407"/>
      <c r="P45" s="769"/>
    </row>
    <row r="46" spans="1:16">
      <c r="A46" s="407"/>
      <c r="P46" s="769"/>
    </row>
    <row r="47" spans="1:16">
      <c r="A47" s="407"/>
      <c r="B47" s="780"/>
      <c r="P47" s="769"/>
    </row>
    <row r="48" spans="1:16">
      <c r="A48" s="783"/>
      <c r="B48" s="784"/>
      <c r="C48" s="784"/>
      <c r="D48" s="784"/>
      <c r="E48" s="784"/>
      <c r="F48" s="784"/>
      <c r="G48" s="784"/>
      <c r="H48" s="784"/>
      <c r="I48" s="784"/>
      <c r="J48" s="784"/>
      <c r="K48" s="784"/>
      <c r="L48" s="784"/>
      <c r="M48" s="784"/>
      <c r="N48" s="784"/>
      <c r="O48" s="784"/>
      <c r="P48" s="785"/>
    </row>
  </sheetData>
  <sheetProtection algorithmName="SHA-512" hashValue="poX2CXiGdnkKIzupRjmkk7xh92/e1fI19BpF/qIZ79OdzUVplR+4g3yOPjp2lCaV6Jwt/nFP6RHs/CqxqoW7Kw==" saltValue="7wtiEvCXiMJfqzDDvBwFSQ==" spinCount="100000" sheet="1" scenarios="1" insertHyperlinks="0"/>
  <mergeCells count="6">
    <mergeCell ref="B20:I20"/>
    <mergeCell ref="A14:P14"/>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topLeftCell="A36" workbookViewId="0">
      <selection activeCell="A4" sqref="A4"/>
    </sheetView>
  </sheetViews>
  <sheetFormatPr baseColWidth="10" defaultColWidth="11.46484375" defaultRowHeight="12.75"/>
  <cols>
    <col min="1" max="1" width="19.46484375" style="131" customWidth="1"/>
    <col min="2" max="2" width="109.33203125" style="131" customWidth="1"/>
  </cols>
  <sheetData>
    <row r="1" spans="1:2" ht="13.15">
      <c r="A1" s="570" t="s">
        <v>31</v>
      </c>
      <c r="B1" s="571"/>
    </row>
    <row r="2" spans="1:2">
      <c r="A2" s="80"/>
      <c r="B2" s="80"/>
    </row>
    <row r="3" spans="1:2" ht="13.15">
      <c r="A3" s="132" t="s">
        <v>32</v>
      </c>
      <c r="B3" s="41" t="s">
        <v>33</v>
      </c>
    </row>
    <row r="4" spans="1:2">
      <c r="A4" s="384"/>
      <c r="B4" s="385"/>
    </row>
    <row r="6" spans="1:2">
      <c r="A6" s="385"/>
      <c r="B6" s="385"/>
    </row>
    <row r="7" spans="1:2">
      <c r="B7" s="385"/>
    </row>
    <row r="8" spans="1:2">
      <c r="B8" s="385"/>
    </row>
    <row r="9" spans="1:2">
      <c r="A9" s="385"/>
      <c r="B9" s="385"/>
    </row>
    <row r="10" spans="1:2">
      <c r="B10" s="385"/>
    </row>
    <row r="19" spans="1:2">
      <c r="B19" s="385"/>
    </row>
    <row r="20" spans="1:2">
      <c r="A20" s="385"/>
    </row>
    <row r="21" spans="1:2">
      <c r="A21" s="385"/>
    </row>
    <row r="22" spans="1:2">
      <c r="B22" s="385"/>
    </row>
    <row r="25" spans="1:2">
      <c r="B25" s="385"/>
    </row>
    <row r="27" spans="1:2">
      <c r="A27" s="385"/>
    </row>
    <row r="28" spans="1:2">
      <c r="A28" s="254"/>
      <c r="B28" s="385"/>
    </row>
    <row r="29" spans="1:2">
      <c r="A29" s="385"/>
      <c r="B29" s="385"/>
    </row>
    <row r="30" spans="1:2">
      <c r="A30" s="385"/>
      <c r="B30" s="385"/>
    </row>
    <row r="31" spans="1:2">
      <c r="B31" s="385"/>
    </row>
    <row r="32" spans="1:2">
      <c r="A32" s="385"/>
      <c r="B32" s="385"/>
    </row>
    <row r="36" spans="1:2">
      <c r="B36" s="385"/>
    </row>
    <row r="37" spans="1:2">
      <c r="B37" s="385"/>
    </row>
    <row r="46" spans="1:2">
      <c r="A46" s="254"/>
    </row>
  </sheetData>
  <sheetProtection algorithmName="SHA-512" hashValue="ILzDIya1aOBJ4iLKkuPKZ8hjKuRjtkkQlSaZopz2+krcYMNOjxt/BDh1ivVkKMJyQu8kIYJSjYEkr1NhU6KUtQ==" saltValue="REkei9kD8ScjBvhWxlocOQ==" spinCount="100000" sheet="1" scenarios="1" insertHyperlinks="0"/>
  <protectedRanges>
    <protectedRange sqref="A4: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A4" sqref="A4"/>
    </sheetView>
  </sheetViews>
  <sheetFormatPr baseColWidth="10" defaultColWidth="11.46484375" defaultRowHeight="12.75"/>
  <cols>
    <col min="1" max="1" width="19.46484375" style="131" customWidth="1"/>
    <col min="2" max="2" width="109.33203125" style="131" customWidth="1"/>
  </cols>
  <sheetData>
    <row r="1" spans="1:2" ht="12.75" customHeight="1">
      <c r="A1" s="3" t="s">
        <v>34</v>
      </c>
      <c r="B1"/>
    </row>
    <row r="2" spans="1:2">
      <c r="A2" s="80"/>
      <c r="B2" s="80"/>
    </row>
    <row r="3" spans="1:2" ht="13.15">
      <c r="A3" s="132" t="s">
        <v>35</v>
      </c>
      <c r="B3" s="41" t="s">
        <v>36</v>
      </c>
    </row>
    <row r="4" spans="1:2">
      <c r="A4" s="384"/>
      <c r="B4" s="385"/>
    </row>
    <row r="10" spans="1:2">
      <c r="B10" s="385"/>
    </row>
  </sheetData>
  <sheetProtection algorithmName="SHA-512" hashValue="3KHI0m5VpNFpgU3LXbDs8DxX2fB852OuZjXxVYuXTN28BVs/zwZSjAZrj/tgsGY1xjz8YOnqekKh4YnPFOAYdQ==" saltValue="Vre6B3b67Cxu+t0cHBdJkQ==" spinCount="100000" sheet="1" scenarios="1" insertHyperlinks="0"/>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3"/>
  <sheetViews>
    <sheetView showGridLines="0" topLeftCell="A33" zoomScaleNormal="100" zoomScaleSheetLayoutView="100" workbookViewId="0">
      <selection activeCell="O14" sqref="O14:S14"/>
    </sheetView>
  </sheetViews>
  <sheetFormatPr baseColWidth="10" defaultColWidth="11.46484375" defaultRowHeight="12.75"/>
  <cols>
    <col min="1" max="4" width="5" style="216" customWidth="1"/>
    <col min="5" max="6" width="6.33203125" style="216" customWidth="1"/>
    <col min="7" max="19" width="5" style="216" customWidth="1"/>
    <col min="20" max="28" width="4.6640625" style="216" customWidth="1"/>
    <col min="29" max="29" width="5.33203125" style="216" customWidth="1"/>
    <col min="30" max="30" width="6.33203125" style="216" customWidth="1"/>
    <col min="31" max="32" width="4.33203125" style="216" customWidth="1"/>
    <col min="33" max="33" width="5.33203125" style="216" customWidth="1"/>
    <col min="34" max="34" width="6.33203125" style="216" customWidth="1"/>
    <col min="35" max="36" width="4.33203125" style="216" customWidth="1"/>
    <col min="37" max="37" width="5.33203125" style="216" customWidth="1"/>
    <col min="38" max="38" width="6.33203125" style="216" customWidth="1"/>
    <col min="39" max="40" width="4.33203125" style="216" customWidth="1"/>
    <col min="41" max="41" width="5.33203125" style="216" customWidth="1"/>
    <col min="42" max="46" width="4.33203125" style="216" customWidth="1"/>
    <col min="47" max="16384" width="11.46484375" style="216"/>
  </cols>
  <sheetData>
    <row r="1" spans="1:46" ht="13.15">
      <c r="A1" s="1087" t="str">
        <f>CONCATENATE(Read_Me!A1," FS STRUCTURAL EQUIVALENCY SPREADSHEET (SES) ",Read_Me!B1," - COVER SHEET")</f>
        <v>2024 FS STRUCTURAL EQUIVALENCY SPREADSHEET (SES) V1.1 - COVER SHEET</v>
      </c>
      <c r="B1" s="1087"/>
      <c r="C1" s="1087"/>
      <c r="D1" s="1087"/>
      <c r="E1" s="1087"/>
      <c r="F1" s="1087"/>
      <c r="G1" s="1087"/>
      <c r="H1" s="1087"/>
      <c r="I1" s="1087"/>
      <c r="J1" s="1087"/>
      <c r="K1" s="1087"/>
      <c r="L1" s="1087"/>
      <c r="M1" s="1087"/>
      <c r="N1" s="1087"/>
      <c r="O1" s="1087"/>
      <c r="P1" s="1087"/>
      <c r="Q1" s="1087"/>
      <c r="R1" s="1087"/>
      <c r="S1" s="1087"/>
      <c r="T1" s="142"/>
      <c r="U1" s="373"/>
      <c r="V1" s="514"/>
      <c r="W1" s="514"/>
      <c r="X1" s="514"/>
      <c r="Y1" s="514"/>
      <c r="Z1" s="514"/>
      <c r="AA1" s="514"/>
      <c r="AB1" s="514"/>
      <c r="AC1" s="514"/>
      <c r="AD1" s="514"/>
      <c r="AE1" s="514"/>
      <c r="AF1" s="514"/>
      <c r="AG1" s="514"/>
      <c r="AH1" s="514"/>
      <c r="AI1" s="514"/>
      <c r="AJ1" s="514"/>
      <c r="AK1" s="514"/>
      <c r="AL1" s="514"/>
      <c r="AM1" s="514"/>
      <c r="AN1" s="514"/>
      <c r="AO1" s="514"/>
      <c r="AP1" s="514"/>
      <c r="AQ1" s="514"/>
      <c r="AR1" s="514"/>
      <c r="AS1" s="514"/>
      <c r="AT1" s="514"/>
    </row>
    <row r="2" spans="1:46" ht="13.15">
      <c r="A2" s="142"/>
      <c r="B2" s="142"/>
      <c r="C2" s="142"/>
      <c r="D2" s="142"/>
      <c r="E2" s="142"/>
      <c r="F2" s="142"/>
      <c r="G2" s="142"/>
      <c r="H2" s="142"/>
      <c r="I2" s="142"/>
      <c r="J2" s="142"/>
      <c r="K2" s="514"/>
      <c r="L2" s="514"/>
      <c r="M2" s="514"/>
      <c r="N2" s="514"/>
      <c r="O2" s="514"/>
      <c r="P2" s="514"/>
      <c r="Q2" s="514"/>
      <c r="R2" s="514"/>
      <c r="S2" s="514"/>
      <c r="T2" s="142"/>
      <c r="U2" s="373"/>
      <c r="V2" s="514"/>
      <c r="W2" s="514"/>
      <c r="X2" s="514"/>
      <c r="Y2" s="514"/>
      <c r="Z2" s="514"/>
      <c r="AA2" s="514"/>
      <c r="AB2" s="514"/>
      <c r="AC2" s="514"/>
      <c r="AD2" s="514"/>
      <c r="AE2" s="514"/>
      <c r="AF2" s="514"/>
      <c r="AG2" s="514"/>
      <c r="AH2" s="514"/>
      <c r="AI2" s="514"/>
      <c r="AJ2" s="514"/>
      <c r="AK2" s="514"/>
      <c r="AL2" s="514"/>
      <c r="AM2" s="514"/>
      <c r="AN2" s="514"/>
      <c r="AO2" s="514"/>
      <c r="AP2" s="514"/>
      <c r="AQ2" s="514"/>
      <c r="AR2" s="514"/>
      <c r="AS2" s="514"/>
      <c r="AT2" s="514"/>
    </row>
    <row r="3" spans="1:46" ht="12.75" customHeight="1">
      <c r="A3" s="1091" t="s">
        <v>37</v>
      </c>
      <c r="B3" s="1091"/>
      <c r="C3" s="1091"/>
      <c r="D3" s="1091"/>
      <c r="E3" s="1091"/>
      <c r="F3" s="1091"/>
      <c r="G3" s="1091"/>
      <c r="H3" s="1091"/>
      <c r="I3" s="1091"/>
      <c r="J3" s="1091"/>
      <c r="K3" s="1091"/>
      <c r="L3" s="1091"/>
      <c r="M3" s="1091"/>
      <c r="N3" s="1091"/>
      <c r="O3" s="1091"/>
      <c r="P3" s="1091"/>
      <c r="Q3" s="1091"/>
      <c r="R3" s="1091"/>
      <c r="S3" s="1091"/>
      <c r="T3" s="142"/>
      <c r="U3" s="373"/>
      <c r="V3" s="514"/>
      <c r="W3" s="514"/>
      <c r="X3" s="514"/>
      <c r="Y3" s="514"/>
      <c r="Z3" s="514"/>
      <c r="AA3" s="514"/>
      <c r="AB3" s="514"/>
      <c r="AC3" s="514"/>
      <c r="AD3" s="514"/>
      <c r="AE3" s="514"/>
      <c r="AF3" s="514"/>
      <c r="AG3" s="514"/>
      <c r="AH3" s="514"/>
      <c r="AI3" s="514"/>
      <c r="AJ3" s="514"/>
      <c r="AK3" s="514"/>
      <c r="AL3" s="514"/>
      <c r="AM3" s="514"/>
      <c r="AN3" s="514"/>
      <c r="AO3" s="514"/>
      <c r="AP3" s="514"/>
      <c r="AQ3" s="514"/>
      <c r="AR3" s="514"/>
      <c r="AS3" s="514"/>
      <c r="AT3" s="514"/>
    </row>
    <row r="4" spans="1:46" ht="13.15">
      <c r="A4" s="1091"/>
      <c r="B4" s="1091"/>
      <c r="C4" s="1091"/>
      <c r="D4" s="1091"/>
      <c r="E4" s="1091"/>
      <c r="F4" s="1091"/>
      <c r="G4" s="1091"/>
      <c r="H4" s="1091"/>
      <c r="I4" s="1091"/>
      <c r="J4" s="1091"/>
      <c r="K4" s="1091"/>
      <c r="L4" s="1091"/>
      <c r="M4" s="1091"/>
      <c r="N4" s="1091"/>
      <c r="O4" s="1091"/>
      <c r="P4" s="1091"/>
      <c r="Q4" s="1091"/>
      <c r="R4" s="1091"/>
      <c r="S4" s="1091"/>
      <c r="T4" s="142"/>
      <c r="U4" s="373"/>
      <c r="V4" s="514"/>
      <c r="W4" s="514"/>
      <c r="X4" s="514"/>
      <c r="Y4" s="514"/>
      <c r="Z4" s="514"/>
      <c r="AA4" s="514"/>
      <c r="AB4" s="514"/>
      <c r="AC4" s="514"/>
      <c r="AD4" s="514"/>
      <c r="AE4" s="514"/>
      <c r="AF4" s="514"/>
      <c r="AG4" s="514"/>
      <c r="AH4" s="514"/>
      <c r="AI4" s="514"/>
      <c r="AJ4" s="514"/>
      <c r="AK4" s="514"/>
      <c r="AL4" s="514"/>
      <c r="AM4" s="514"/>
      <c r="AN4" s="514"/>
      <c r="AO4" s="514"/>
      <c r="AP4" s="514"/>
      <c r="AQ4" s="514"/>
      <c r="AR4" s="514"/>
      <c r="AS4" s="514"/>
      <c r="AT4" s="514"/>
    </row>
    <row r="5" spans="1:46" ht="13.15">
      <c r="A5" s="1091"/>
      <c r="B5" s="1091"/>
      <c r="C5" s="1091"/>
      <c r="D5" s="1091"/>
      <c r="E5" s="1091"/>
      <c r="F5" s="1091"/>
      <c r="G5" s="1091"/>
      <c r="H5" s="1091"/>
      <c r="I5" s="1091"/>
      <c r="J5" s="1091"/>
      <c r="K5" s="1091"/>
      <c r="L5" s="1091"/>
      <c r="M5" s="1091"/>
      <c r="N5" s="1091"/>
      <c r="O5" s="1091"/>
      <c r="P5" s="1091"/>
      <c r="Q5" s="1091"/>
      <c r="R5" s="1091"/>
      <c r="S5" s="1091"/>
      <c r="T5" s="142"/>
      <c r="U5" s="373"/>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row>
    <row r="6" spans="1:46" ht="13.15">
      <c r="A6" s="1091"/>
      <c r="B6" s="1091"/>
      <c r="C6" s="1091"/>
      <c r="D6" s="1091"/>
      <c r="E6" s="1091"/>
      <c r="F6" s="1091"/>
      <c r="G6" s="1091"/>
      <c r="H6" s="1091"/>
      <c r="I6" s="1091"/>
      <c r="J6" s="1091"/>
      <c r="K6" s="1091"/>
      <c r="L6" s="1091"/>
      <c r="M6" s="1091"/>
      <c r="N6" s="1091"/>
      <c r="O6" s="1091"/>
      <c r="P6" s="1091"/>
      <c r="Q6" s="1091"/>
      <c r="R6" s="1091"/>
      <c r="S6" s="1091"/>
      <c r="T6" s="142"/>
      <c r="U6" s="373"/>
      <c r="V6" s="514"/>
      <c r="W6" s="514"/>
      <c r="X6" s="514"/>
      <c r="Y6" s="514"/>
      <c r="Z6" s="514"/>
      <c r="AA6" s="514"/>
      <c r="AB6" s="514"/>
      <c r="AC6" s="514"/>
      <c r="AD6" s="514"/>
      <c r="AE6" s="514"/>
      <c r="AF6" s="514"/>
      <c r="AG6" s="514"/>
      <c r="AH6" s="514"/>
      <c r="AI6" s="514"/>
      <c r="AJ6" s="514"/>
      <c r="AK6" s="514"/>
      <c r="AL6" s="514"/>
      <c r="AM6" s="514"/>
      <c r="AN6" s="514"/>
      <c r="AO6" s="514"/>
      <c r="AP6" s="514"/>
      <c r="AQ6" s="514"/>
      <c r="AR6" s="514"/>
      <c r="AS6" s="514"/>
      <c r="AT6" s="514"/>
    </row>
    <row r="7" spans="1:46" ht="13.15">
      <c r="A7" s="1091"/>
      <c r="B7" s="1091"/>
      <c r="C7" s="1091"/>
      <c r="D7" s="1091"/>
      <c r="E7" s="1091"/>
      <c r="F7" s="1091"/>
      <c r="G7" s="1091"/>
      <c r="H7" s="1091"/>
      <c r="I7" s="1091"/>
      <c r="J7" s="1091"/>
      <c r="K7" s="1091"/>
      <c r="L7" s="1091"/>
      <c r="M7" s="1091"/>
      <c r="N7" s="1091"/>
      <c r="O7" s="1091"/>
      <c r="P7" s="1091"/>
      <c r="Q7" s="1091"/>
      <c r="R7" s="1091"/>
      <c r="S7" s="1091"/>
      <c r="T7" s="142"/>
      <c r="U7" s="373"/>
      <c r="V7" s="514"/>
      <c r="W7" s="514"/>
      <c r="X7" s="514"/>
      <c r="Y7" s="514"/>
      <c r="Z7" s="514"/>
      <c r="AA7" s="514"/>
      <c r="AB7" s="514"/>
      <c r="AC7" s="514"/>
      <c r="AD7" s="514"/>
      <c r="AE7" s="514"/>
      <c r="AF7" s="514"/>
      <c r="AG7" s="514"/>
      <c r="AH7" s="514"/>
      <c r="AI7" s="514"/>
      <c r="AJ7" s="514"/>
      <c r="AK7" s="514"/>
      <c r="AL7" s="514"/>
      <c r="AM7" s="514"/>
      <c r="AN7" s="514"/>
      <c r="AO7" s="514"/>
      <c r="AP7" s="514"/>
      <c r="AQ7" s="514"/>
      <c r="AR7" s="514"/>
      <c r="AS7" s="514"/>
      <c r="AT7" s="514"/>
    </row>
    <row r="8" spans="1:46" ht="13.15">
      <c r="A8" s="1091"/>
      <c r="B8" s="1091"/>
      <c r="C8" s="1091"/>
      <c r="D8" s="1091"/>
      <c r="E8" s="1091"/>
      <c r="F8" s="1091"/>
      <c r="G8" s="1091"/>
      <c r="H8" s="1091"/>
      <c r="I8" s="1091"/>
      <c r="J8" s="1091"/>
      <c r="K8" s="1091"/>
      <c r="L8" s="1091"/>
      <c r="M8" s="1091"/>
      <c r="N8" s="1091"/>
      <c r="O8" s="1091"/>
      <c r="P8" s="1091"/>
      <c r="Q8" s="1091"/>
      <c r="R8" s="1091"/>
      <c r="S8" s="1091"/>
      <c r="T8" s="142"/>
      <c r="U8" s="373"/>
      <c r="V8" s="514"/>
      <c r="W8" s="514"/>
      <c r="X8" s="514"/>
      <c r="Y8" s="514"/>
      <c r="Z8" s="514"/>
      <c r="AA8" s="514"/>
      <c r="AB8" s="514"/>
      <c r="AC8" s="514"/>
      <c r="AD8" s="514"/>
      <c r="AE8" s="514"/>
      <c r="AF8" s="514"/>
      <c r="AG8" s="514"/>
      <c r="AH8" s="514"/>
      <c r="AI8" s="514"/>
      <c r="AJ8" s="514"/>
      <c r="AK8" s="514"/>
      <c r="AL8" s="514"/>
      <c r="AM8" s="514"/>
      <c r="AN8" s="514"/>
      <c r="AO8" s="514"/>
      <c r="AP8" s="514"/>
      <c r="AQ8" s="514"/>
      <c r="AR8" s="514"/>
      <c r="AS8" s="514"/>
      <c r="AT8" s="514"/>
    </row>
    <row r="9" spans="1:46" ht="13.15">
      <c r="A9" s="1091"/>
      <c r="B9" s="1091"/>
      <c r="C9" s="1091"/>
      <c r="D9" s="1091"/>
      <c r="E9" s="1091"/>
      <c r="F9" s="1091"/>
      <c r="G9" s="1091"/>
      <c r="H9" s="1091"/>
      <c r="I9" s="1091"/>
      <c r="J9" s="1091"/>
      <c r="K9" s="1091"/>
      <c r="L9" s="1091"/>
      <c r="M9" s="1091"/>
      <c r="N9" s="1091"/>
      <c r="O9" s="1091"/>
      <c r="P9" s="1091"/>
      <c r="Q9" s="1091"/>
      <c r="R9" s="1091"/>
      <c r="S9" s="1091"/>
      <c r="T9" s="142"/>
      <c r="U9" s="373"/>
      <c r="V9" s="514"/>
      <c r="W9" s="514"/>
      <c r="X9" s="514"/>
      <c r="Y9" s="514"/>
      <c r="Z9" s="514"/>
      <c r="AA9" s="514"/>
      <c r="AB9" s="514"/>
      <c r="AC9" s="514"/>
      <c r="AD9" s="514"/>
      <c r="AE9" s="514"/>
      <c r="AF9" s="514"/>
      <c r="AG9" s="514"/>
      <c r="AH9" s="514"/>
      <c r="AI9" s="514"/>
      <c r="AJ9" s="514"/>
      <c r="AK9" s="514"/>
      <c r="AL9" s="514"/>
      <c r="AM9" s="514"/>
      <c r="AN9" s="514"/>
      <c r="AO9" s="514"/>
      <c r="AP9" s="514"/>
      <c r="AQ9" s="514"/>
      <c r="AR9" s="514"/>
      <c r="AS9" s="514"/>
      <c r="AT9" s="514"/>
    </row>
    <row r="10" spans="1:46" ht="13.15">
      <c r="A10" s="514"/>
      <c r="B10" s="514"/>
      <c r="C10" s="514"/>
      <c r="D10" s="514"/>
      <c r="E10" s="514"/>
      <c r="F10" s="514"/>
      <c r="G10" s="514"/>
      <c r="H10" s="514"/>
      <c r="I10" s="514"/>
      <c r="J10" s="514"/>
      <c r="K10" s="514"/>
      <c r="L10" s="514"/>
      <c r="M10" s="514"/>
      <c r="N10" s="514"/>
      <c r="O10" s="514"/>
      <c r="P10" s="514"/>
      <c r="Q10" s="514"/>
      <c r="R10" s="514"/>
      <c r="S10" s="514"/>
      <c r="T10" s="142"/>
      <c r="U10" s="373"/>
      <c r="V10" s="514"/>
      <c r="W10" s="514"/>
      <c r="X10" s="514"/>
      <c r="Y10" s="514"/>
      <c r="Z10" s="514"/>
      <c r="AA10" s="514"/>
      <c r="AB10" s="514"/>
      <c r="AC10" s="514"/>
      <c r="AD10" s="514"/>
      <c r="AE10" s="514"/>
      <c r="AF10" s="514"/>
      <c r="AG10" s="514"/>
      <c r="AH10" s="514"/>
      <c r="AI10" s="514"/>
      <c r="AJ10" s="514"/>
      <c r="AK10" s="514"/>
      <c r="AL10" s="514"/>
      <c r="AM10" s="514"/>
      <c r="AN10" s="514"/>
      <c r="AO10" s="514"/>
      <c r="AP10" s="514"/>
      <c r="AQ10" s="514"/>
      <c r="AR10" s="514"/>
      <c r="AS10" s="514"/>
      <c r="AT10" s="514"/>
    </row>
    <row r="11" spans="1:46" ht="12.75" customHeight="1">
      <c r="A11" s="1092" t="s">
        <v>38</v>
      </c>
      <c r="B11" s="1092"/>
      <c r="C11" s="1092"/>
      <c r="D11" s="1092"/>
      <c r="E11" s="1092"/>
      <c r="F11" s="1092"/>
      <c r="G11" s="1092"/>
      <c r="H11" s="1092"/>
      <c r="I11" s="1092"/>
      <c r="J11" s="1092"/>
      <c r="K11" s="1092"/>
      <c r="L11" s="1092"/>
      <c r="M11" s="1092"/>
      <c r="N11" s="1092"/>
      <c r="O11" s="1092"/>
      <c r="P11" s="1092"/>
      <c r="Q11" s="1092"/>
      <c r="R11" s="1092"/>
      <c r="S11" s="1092"/>
      <c r="T11" s="142"/>
      <c r="U11" s="373"/>
      <c r="V11" s="514"/>
      <c r="W11" s="514"/>
      <c r="X11" s="514"/>
      <c r="Y11" s="514"/>
      <c r="Z11" s="514"/>
      <c r="AA11" s="514"/>
      <c r="AB11" s="514"/>
      <c r="AC11" s="514"/>
      <c r="AD11" s="514"/>
      <c r="AE11" s="514"/>
      <c r="AF11" s="514"/>
      <c r="AG11" s="514"/>
      <c r="AH11" s="514"/>
      <c r="AI11" s="514"/>
      <c r="AJ11" s="514"/>
      <c r="AK11" s="514"/>
      <c r="AL11" s="514"/>
      <c r="AM11" s="514"/>
      <c r="AN11" s="514"/>
      <c r="AO11" s="514"/>
      <c r="AP11" s="514"/>
      <c r="AQ11" s="514"/>
      <c r="AR11" s="514"/>
      <c r="AS11" s="514"/>
      <c r="AT11" s="514"/>
    </row>
    <row r="12" spans="1:46" ht="12.75" customHeight="1">
      <c r="A12" s="1092"/>
      <c r="B12" s="1092"/>
      <c r="C12" s="1092"/>
      <c r="D12" s="1092"/>
      <c r="E12" s="1092"/>
      <c r="F12" s="1092"/>
      <c r="G12" s="1092"/>
      <c r="H12" s="1092"/>
      <c r="I12" s="1092"/>
      <c r="J12" s="1092"/>
      <c r="K12" s="1092"/>
      <c r="L12" s="1092"/>
      <c r="M12" s="1092"/>
      <c r="N12" s="1092"/>
      <c r="O12" s="1092"/>
      <c r="P12" s="1092"/>
      <c r="Q12" s="1092"/>
      <c r="R12" s="1092"/>
      <c r="S12" s="1092"/>
      <c r="T12" s="142"/>
      <c r="U12" s="373"/>
      <c r="V12" s="514"/>
      <c r="W12" s="514"/>
      <c r="X12" s="514"/>
      <c r="Y12" s="514"/>
      <c r="Z12" s="514"/>
      <c r="AA12" s="514"/>
      <c r="AB12" s="514"/>
      <c r="AC12" s="514"/>
      <c r="AD12" s="514"/>
      <c r="AE12" s="514"/>
      <c r="AF12" s="514"/>
      <c r="AG12" s="514"/>
      <c r="AH12" s="514"/>
      <c r="AI12" s="514"/>
      <c r="AJ12" s="514"/>
      <c r="AK12" s="514"/>
      <c r="AL12" s="514"/>
      <c r="AM12" s="514"/>
      <c r="AN12" s="514"/>
      <c r="AO12" s="514"/>
      <c r="AP12" s="514"/>
      <c r="AQ12" s="514"/>
      <c r="AR12" s="514"/>
      <c r="AS12" s="514"/>
      <c r="AT12" s="514"/>
    </row>
    <row r="13" spans="1:46" ht="13.15">
      <c r="A13" s="514"/>
      <c r="B13" s="514"/>
      <c r="C13" s="514"/>
      <c r="D13" s="514"/>
      <c r="E13" s="514"/>
      <c r="F13" s="514"/>
      <c r="G13" s="514"/>
      <c r="H13" s="514"/>
      <c r="I13" s="514"/>
      <c r="J13" s="514"/>
      <c r="K13" s="514"/>
      <c r="L13" s="514"/>
      <c r="M13" s="514"/>
      <c r="N13" s="514"/>
      <c r="O13" s="514"/>
      <c r="P13" s="514"/>
      <c r="Q13" s="514"/>
      <c r="R13" s="514"/>
      <c r="S13" s="514"/>
      <c r="T13" s="142"/>
      <c r="U13" s="373"/>
      <c r="V13" s="514"/>
      <c r="W13" s="514"/>
      <c r="X13" s="514"/>
      <c r="Y13" s="514"/>
      <c r="Z13" s="514"/>
      <c r="AA13" s="514"/>
      <c r="AB13" s="514"/>
      <c r="AC13" s="514"/>
      <c r="AD13" s="514"/>
      <c r="AE13" s="514"/>
      <c r="AF13" s="514"/>
      <c r="AG13" s="514"/>
      <c r="AH13" s="514"/>
      <c r="AI13" s="514"/>
      <c r="AJ13" s="514"/>
      <c r="AK13" s="514"/>
      <c r="AL13" s="514"/>
      <c r="AM13" s="514"/>
      <c r="AN13" s="514"/>
      <c r="AO13" s="514"/>
      <c r="AP13" s="514"/>
      <c r="AQ13" s="514"/>
      <c r="AR13" s="514"/>
      <c r="AS13" s="514"/>
      <c r="AT13" s="514"/>
    </row>
    <row r="14" spans="1:46" ht="13.15">
      <c r="A14" s="514" t="s">
        <v>39</v>
      </c>
      <c r="B14" s="514"/>
      <c r="C14" s="514"/>
      <c r="D14" s="1088" t="s">
        <v>1016</v>
      </c>
      <c r="E14" s="1089"/>
      <c r="F14" s="1089"/>
      <c r="G14" s="1089"/>
      <c r="H14" s="1089"/>
      <c r="I14" s="1089"/>
      <c r="J14" s="1090"/>
      <c r="K14" s="514" t="s">
        <v>40</v>
      </c>
      <c r="L14" s="514"/>
      <c r="M14" s="514"/>
      <c r="N14" s="514"/>
      <c r="O14" s="1088" t="s">
        <v>1018</v>
      </c>
      <c r="P14" s="1089"/>
      <c r="Q14" s="1089"/>
      <c r="R14" s="1089"/>
      <c r="S14" s="1090"/>
      <c r="T14" s="142"/>
      <c r="U14" s="373"/>
      <c r="V14" s="514"/>
      <c r="W14" s="514"/>
      <c r="X14" s="514"/>
      <c r="Y14" s="514"/>
      <c r="Z14" s="514"/>
      <c r="AA14" s="514"/>
      <c r="AB14" s="514"/>
      <c r="AC14" s="514"/>
      <c r="AD14" s="514"/>
      <c r="AE14" s="514"/>
      <c r="AF14" s="514"/>
      <c r="AG14" s="514"/>
      <c r="AH14" s="514"/>
      <c r="AI14" s="514"/>
      <c r="AJ14" s="514"/>
      <c r="AK14" s="514"/>
      <c r="AL14" s="514"/>
      <c r="AM14" s="514"/>
      <c r="AN14" s="514"/>
      <c r="AO14" s="514"/>
      <c r="AP14" s="514"/>
      <c r="AQ14" s="514"/>
      <c r="AR14" s="514"/>
      <c r="AS14" s="514"/>
      <c r="AT14" s="514"/>
    </row>
    <row r="15" spans="1:46" ht="13.15">
      <c r="A15" s="514" t="s">
        <v>41</v>
      </c>
      <c r="B15" s="514"/>
      <c r="C15" s="514"/>
      <c r="D15" s="1088" t="s">
        <v>1023</v>
      </c>
      <c r="E15" s="1089"/>
      <c r="F15" s="1089"/>
      <c r="G15" s="1089"/>
      <c r="H15" s="1089"/>
      <c r="I15" s="1089"/>
      <c r="J15" s="1090"/>
      <c r="K15" s="514" t="s">
        <v>42</v>
      </c>
      <c r="L15" s="514"/>
      <c r="M15" s="514"/>
      <c r="N15" s="1555" t="s">
        <v>1024</v>
      </c>
      <c r="O15" s="1089"/>
      <c r="P15" s="1089"/>
      <c r="Q15" s="1089"/>
      <c r="R15" s="1089"/>
      <c r="S15" s="1090"/>
      <c r="T15" s="142"/>
      <c r="U15" s="373"/>
      <c r="V15" s="514"/>
      <c r="W15" s="514"/>
      <c r="X15" s="514"/>
      <c r="Y15" s="514"/>
      <c r="Z15" s="514"/>
      <c r="AA15" s="514"/>
      <c r="AB15" s="514"/>
      <c r="AC15" s="514"/>
      <c r="AD15" s="514"/>
      <c r="AE15" s="514"/>
      <c r="AF15" s="514"/>
      <c r="AG15" s="514"/>
      <c r="AH15" s="514"/>
      <c r="AI15" s="514"/>
      <c r="AJ15" s="514"/>
      <c r="AK15" s="514"/>
      <c r="AL15" s="514"/>
      <c r="AM15" s="514"/>
      <c r="AN15" s="514"/>
      <c r="AO15" s="514"/>
      <c r="AP15" s="514"/>
      <c r="AQ15" s="514"/>
      <c r="AR15" s="514"/>
      <c r="AS15" s="514"/>
      <c r="AT15" s="514"/>
    </row>
    <row r="16" spans="1:46" ht="13.15">
      <c r="A16" s="514" t="s">
        <v>43</v>
      </c>
      <c r="B16" s="514"/>
      <c r="C16" s="514"/>
      <c r="D16" s="1088" t="s">
        <v>1017</v>
      </c>
      <c r="E16" s="1089"/>
      <c r="F16" s="1089"/>
      <c r="G16" s="1089"/>
      <c r="H16" s="1089"/>
      <c r="I16" s="1089"/>
      <c r="J16" s="1090"/>
      <c r="K16" s="514" t="s">
        <v>42</v>
      </c>
      <c r="L16" s="514"/>
      <c r="M16" s="514"/>
      <c r="N16" s="1088" t="s">
        <v>1019</v>
      </c>
      <c r="O16" s="1089"/>
      <c r="P16" s="1089"/>
      <c r="Q16" s="1089"/>
      <c r="R16" s="1089"/>
      <c r="S16" s="1090"/>
      <c r="T16" s="142"/>
      <c r="U16" s="373"/>
      <c r="V16" s="514"/>
      <c r="W16" s="514"/>
      <c r="X16" s="514"/>
      <c r="Y16" s="514"/>
      <c r="Z16" s="514"/>
      <c r="AA16" s="514"/>
      <c r="AB16" s="514"/>
      <c r="AC16" s="514"/>
      <c r="AD16" s="514"/>
      <c r="AE16" s="514"/>
      <c r="AF16" s="514"/>
      <c r="AG16" s="514"/>
      <c r="AH16" s="514"/>
      <c r="AI16" s="514"/>
      <c r="AJ16" s="514"/>
      <c r="AK16" s="514"/>
      <c r="AL16" s="514"/>
      <c r="AM16" s="514"/>
      <c r="AN16" s="514"/>
      <c r="AO16" s="514"/>
      <c r="AP16" s="514"/>
      <c r="AQ16" s="514"/>
      <c r="AR16" s="514"/>
      <c r="AS16" s="514"/>
      <c r="AT16" s="514"/>
    </row>
    <row r="17" spans="1:47" ht="13.15">
      <c r="A17" s="514" t="s">
        <v>44</v>
      </c>
      <c r="B17" s="514"/>
      <c r="C17" s="514"/>
      <c r="D17" s="1106" t="s">
        <v>45</v>
      </c>
      <c r="E17" s="1107"/>
      <c r="F17" s="1107"/>
      <c r="G17" s="1107"/>
      <c r="H17" s="1107"/>
      <c r="I17" s="1107"/>
      <c r="J17" s="1108"/>
      <c r="K17" s="514"/>
      <c r="L17" s="514"/>
      <c r="M17" s="514"/>
      <c r="N17" s="514"/>
      <c r="O17" s="514"/>
      <c r="P17" s="514"/>
      <c r="Q17" s="514"/>
      <c r="R17" s="514"/>
      <c r="S17" s="514"/>
      <c r="T17" s="1101" t="s">
        <v>46</v>
      </c>
      <c r="U17" s="1110"/>
      <c r="V17" s="1110"/>
      <c r="W17" s="1110"/>
      <c r="X17" s="1110"/>
      <c r="Y17" s="1110"/>
      <c r="Z17" s="1110"/>
      <c r="AA17" s="1110"/>
      <c r="AB17" s="1111"/>
      <c r="AC17" s="1077" t="s">
        <v>47</v>
      </c>
      <c r="AD17" s="1077"/>
      <c r="AE17" s="1077"/>
      <c r="AF17" s="1077"/>
      <c r="AG17" s="1077" t="s">
        <v>48</v>
      </c>
      <c r="AH17" s="1077"/>
      <c r="AI17" s="1077"/>
      <c r="AJ17" s="1077"/>
      <c r="AK17" s="1077" t="s">
        <v>49</v>
      </c>
      <c r="AL17" s="1077"/>
      <c r="AM17" s="1077"/>
      <c r="AN17" s="1101"/>
      <c r="AO17" s="1098" t="s">
        <v>50</v>
      </c>
      <c r="AP17" s="1099"/>
      <c r="AQ17" s="1099"/>
      <c r="AR17" s="1099"/>
      <c r="AS17" s="1099"/>
      <c r="AT17" s="1100"/>
      <c r="AU17" s="514"/>
    </row>
    <row r="18" spans="1:47">
      <c r="A18" s="217" t="s">
        <v>51</v>
      </c>
      <c r="B18" s="573"/>
      <c r="C18" s="573"/>
      <c r="D18" s="573"/>
      <c r="E18" s="573"/>
      <c r="F18" s="573"/>
      <c r="G18" s="573"/>
      <c r="H18" s="573"/>
      <c r="I18" s="573"/>
      <c r="J18" s="573"/>
      <c r="K18" s="573"/>
      <c r="L18" s="573"/>
      <c r="M18" s="573"/>
      <c r="N18" s="573"/>
      <c r="O18" s="573"/>
      <c r="P18" s="573"/>
      <c r="Q18" s="573"/>
      <c r="R18" s="573"/>
      <c r="S18" s="574"/>
      <c r="T18" s="1109" t="s">
        <v>52</v>
      </c>
      <c r="U18" s="1113" t="s">
        <v>53</v>
      </c>
      <c r="V18" s="1113" t="s">
        <v>54</v>
      </c>
      <c r="W18" s="1113" t="s">
        <v>55</v>
      </c>
      <c r="X18" s="1113" t="s">
        <v>56</v>
      </c>
      <c r="Y18" s="1113" t="s">
        <v>57</v>
      </c>
      <c r="Z18" s="1109" t="s">
        <v>58</v>
      </c>
      <c r="AA18" s="1109" t="s">
        <v>59</v>
      </c>
      <c r="AB18" s="1109" t="s">
        <v>60</v>
      </c>
      <c r="AC18" s="1102" t="s">
        <v>61</v>
      </c>
      <c r="AD18" s="1102" t="s">
        <v>62</v>
      </c>
      <c r="AE18" s="1102" t="s">
        <v>63</v>
      </c>
      <c r="AF18" s="1102" t="s">
        <v>64</v>
      </c>
      <c r="AG18" s="1102" t="s">
        <v>61</v>
      </c>
      <c r="AH18" s="1102" t="s">
        <v>62</v>
      </c>
      <c r="AI18" s="1103" t="s">
        <v>63</v>
      </c>
      <c r="AJ18" s="1102" t="s">
        <v>64</v>
      </c>
      <c r="AK18" s="1102" t="s">
        <v>61</v>
      </c>
      <c r="AL18" s="1102" t="s">
        <v>62</v>
      </c>
      <c r="AM18" s="1103" t="s">
        <v>63</v>
      </c>
      <c r="AN18" s="1102" t="s">
        <v>64</v>
      </c>
      <c r="AO18" s="1096" t="s">
        <v>65</v>
      </c>
      <c r="AP18" s="1096" t="s">
        <v>66</v>
      </c>
      <c r="AQ18" s="1096" t="s">
        <v>67</v>
      </c>
      <c r="AR18" s="1096" t="s">
        <v>68</v>
      </c>
      <c r="AS18" s="1096" t="s">
        <v>69</v>
      </c>
      <c r="AT18" s="1096" t="s">
        <v>70</v>
      </c>
      <c r="AU18" s="514"/>
    </row>
    <row r="19" spans="1:47" ht="13.15">
      <c r="A19" s="1132" t="str">
        <f>IF(COUNTIF(A24:B48,"NO")&gt;0,"Yes. Chassis deviates from baseline requirements","No. Chassis does not deviate from baseline requirements")</f>
        <v>Yes. Chassis deviates from baseline requirements</v>
      </c>
      <c r="B19" s="1133"/>
      <c r="C19" s="1133"/>
      <c r="D19" s="1133"/>
      <c r="E19" s="1133"/>
      <c r="F19" s="1133"/>
      <c r="G19" s="1133"/>
      <c r="H19" s="1133"/>
      <c r="I19" s="1133"/>
      <c r="J19" s="1133"/>
      <c r="K19" s="1133"/>
      <c r="L19" s="1133"/>
      <c r="M19" s="1133"/>
      <c r="N19" s="1133"/>
      <c r="O19" s="1133"/>
      <c r="P19" s="1133"/>
      <c r="Q19" s="1133"/>
      <c r="R19" s="1133"/>
      <c r="S19" s="1134"/>
      <c r="T19" s="1109"/>
      <c r="U19" s="1113"/>
      <c r="V19" s="1113"/>
      <c r="W19" s="1113"/>
      <c r="X19" s="1113"/>
      <c r="Y19" s="1113"/>
      <c r="Z19" s="1109"/>
      <c r="AA19" s="1109"/>
      <c r="AB19" s="1109"/>
      <c r="AC19" s="1096"/>
      <c r="AD19" s="1096"/>
      <c r="AE19" s="1096"/>
      <c r="AF19" s="1096"/>
      <c r="AG19" s="1096"/>
      <c r="AH19" s="1096"/>
      <c r="AI19" s="1104"/>
      <c r="AJ19" s="1096"/>
      <c r="AK19" s="1096"/>
      <c r="AL19" s="1096"/>
      <c r="AM19" s="1104"/>
      <c r="AN19" s="1096"/>
      <c r="AO19" s="1096"/>
      <c r="AP19" s="1096"/>
      <c r="AQ19" s="1096"/>
      <c r="AR19" s="1096"/>
      <c r="AS19" s="1096"/>
      <c r="AT19" s="1096"/>
      <c r="AU19" s="514"/>
    </row>
    <row r="20" spans="1:47">
      <c r="A20" s="514"/>
      <c r="B20" s="514"/>
      <c r="C20" s="514"/>
      <c r="D20" s="514"/>
      <c r="E20" s="514"/>
      <c r="F20" s="514"/>
      <c r="G20" s="514"/>
      <c r="H20" s="514"/>
      <c r="I20" s="514"/>
      <c r="J20" s="514"/>
      <c r="K20" s="514"/>
      <c r="L20" s="514"/>
      <c r="M20" s="514"/>
      <c r="N20" s="514"/>
      <c r="O20" s="514"/>
      <c r="P20" s="514"/>
      <c r="Q20" s="514"/>
      <c r="R20" s="514"/>
      <c r="S20" s="514"/>
      <c r="T20" s="1109"/>
      <c r="U20" s="1113"/>
      <c r="V20" s="1113"/>
      <c r="W20" s="1113"/>
      <c r="X20" s="1113"/>
      <c r="Y20" s="1113"/>
      <c r="Z20" s="1109"/>
      <c r="AA20" s="1109"/>
      <c r="AB20" s="1109"/>
      <c r="AC20" s="1096"/>
      <c r="AD20" s="1096"/>
      <c r="AE20" s="1096"/>
      <c r="AF20" s="1096"/>
      <c r="AG20" s="1096"/>
      <c r="AH20" s="1096"/>
      <c r="AI20" s="1104"/>
      <c r="AJ20" s="1096"/>
      <c r="AK20" s="1096"/>
      <c r="AL20" s="1096"/>
      <c r="AM20" s="1104"/>
      <c r="AN20" s="1096"/>
      <c r="AO20" s="1096"/>
      <c r="AP20" s="1096"/>
      <c r="AQ20" s="1096"/>
      <c r="AR20" s="1096"/>
      <c r="AS20" s="1096"/>
      <c r="AT20" s="1096"/>
      <c r="AU20" s="514"/>
    </row>
    <row r="21" spans="1:47" ht="12.75" customHeight="1">
      <c r="A21" s="1120" t="s">
        <v>71</v>
      </c>
      <c r="B21" s="1135"/>
      <c r="C21" s="1120" t="s">
        <v>72</v>
      </c>
      <c r="D21" s="1121"/>
      <c r="E21" s="1114" t="s">
        <v>73</v>
      </c>
      <c r="F21" s="1115"/>
      <c r="G21" s="1140" t="s">
        <v>74</v>
      </c>
      <c r="H21" s="1140"/>
      <c r="I21" s="1140"/>
      <c r="J21" s="1140"/>
      <c r="K21" s="1140"/>
      <c r="L21" s="1140"/>
      <c r="M21" s="1140"/>
      <c r="N21" s="1140"/>
      <c r="O21" s="1114" t="s">
        <v>75</v>
      </c>
      <c r="P21" s="1126"/>
      <c r="Q21" s="1126"/>
      <c r="R21" s="1126"/>
      <c r="S21" s="1127"/>
      <c r="T21" s="1112"/>
      <c r="U21" s="1113"/>
      <c r="V21" s="1113"/>
      <c r="W21" s="1113"/>
      <c r="X21" s="1113"/>
      <c r="Y21" s="1113"/>
      <c r="Z21" s="1109"/>
      <c r="AA21" s="1109"/>
      <c r="AB21" s="1109"/>
      <c r="AC21" s="1096"/>
      <c r="AD21" s="1096"/>
      <c r="AE21" s="1096"/>
      <c r="AF21" s="1096"/>
      <c r="AG21" s="1096"/>
      <c r="AH21" s="1096"/>
      <c r="AI21" s="1104"/>
      <c r="AJ21" s="1096"/>
      <c r="AK21" s="1096"/>
      <c r="AL21" s="1096"/>
      <c r="AM21" s="1104"/>
      <c r="AN21" s="1096"/>
      <c r="AO21" s="1096"/>
      <c r="AP21" s="1096"/>
      <c r="AQ21" s="1096"/>
      <c r="AR21" s="1096"/>
      <c r="AS21" s="1096"/>
      <c r="AT21" s="1096"/>
      <c r="AU21" s="514"/>
    </row>
    <row r="22" spans="1:47" ht="12.75" customHeight="1">
      <c r="A22" s="1136"/>
      <c r="B22" s="1137"/>
      <c r="C22" s="1122"/>
      <c r="D22" s="1123"/>
      <c r="E22" s="1116"/>
      <c r="F22" s="1117"/>
      <c r="G22" s="1140"/>
      <c r="H22" s="1140"/>
      <c r="I22" s="1140"/>
      <c r="J22" s="1140"/>
      <c r="K22" s="1140"/>
      <c r="L22" s="1140"/>
      <c r="M22" s="1140"/>
      <c r="N22" s="1140"/>
      <c r="O22" s="1116"/>
      <c r="P22" s="1128"/>
      <c r="Q22" s="1128"/>
      <c r="R22" s="1128"/>
      <c r="S22" s="1129"/>
      <c r="T22" s="1112"/>
      <c r="U22" s="1113"/>
      <c r="V22" s="1113"/>
      <c r="W22" s="1113"/>
      <c r="X22" s="1113"/>
      <c r="Y22" s="1113"/>
      <c r="Z22" s="1109"/>
      <c r="AA22" s="1109"/>
      <c r="AB22" s="1109"/>
      <c r="AC22" s="1096"/>
      <c r="AD22" s="1096"/>
      <c r="AE22" s="1096"/>
      <c r="AF22" s="1096"/>
      <c r="AG22" s="1096"/>
      <c r="AH22" s="1096"/>
      <c r="AI22" s="1104"/>
      <c r="AJ22" s="1096"/>
      <c r="AK22" s="1096"/>
      <c r="AL22" s="1096"/>
      <c r="AM22" s="1104"/>
      <c r="AN22" s="1096"/>
      <c r="AO22" s="1096"/>
      <c r="AP22" s="1096"/>
      <c r="AQ22" s="1096"/>
      <c r="AR22" s="1096"/>
      <c r="AS22" s="1096"/>
      <c r="AT22" s="1096"/>
      <c r="AU22" s="514"/>
    </row>
    <row r="23" spans="1:47">
      <c r="A23" s="1138"/>
      <c r="B23" s="1139"/>
      <c r="C23" s="1124"/>
      <c r="D23" s="1125"/>
      <c r="E23" s="1118"/>
      <c r="F23" s="1119"/>
      <c r="G23" s="1140"/>
      <c r="H23" s="1140"/>
      <c r="I23" s="1140"/>
      <c r="J23" s="1140"/>
      <c r="K23" s="1140"/>
      <c r="L23" s="1140"/>
      <c r="M23" s="1140"/>
      <c r="N23" s="1140"/>
      <c r="O23" s="1118"/>
      <c r="P23" s="1130"/>
      <c r="Q23" s="1130"/>
      <c r="R23" s="1130"/>
      <c r="S23" s="1131"/>
      <c r="T23" s="1112"/>
      <c r="U23" s="1113"/>
      <c r="V23" s="1113"/>
      <c r="W23" s="1113"/>
      <c r="X23" s="1113"/>
      <c r="Y23" s="1113"/>
      <c r="Z23" s="1109"/>
      <c r="AA23" s="1109"/>
      <c r="AB23" s="1109"/>
      <c r="AC23" s="1097"/>
      <c r="AD23" s="1097"/>
      <c r="AE23" s="1097"/>
      <c r="AF23" s="1097"/>
      <c r="AG23" s="1097"/>
      <c r="AH23" s="1097"/>
      <c r="AI23" s="1105"/>
      <c r="AJ23" s="1097"/>
      <c r="AK23" s="1097"/>
      <c r="AL23" s="1097"/>
      <c r="AM23" s="1105"/>
      <c r="AN23" s="1097"/>
      <c r="AO23" s="1097"/>
      <c r="AP23" s="1097"/>
      <c r="AQ23" s="1097"/>
      <c r="AR23" s="1097"/>
      <c r="AS23" s="1097"/>
      <c r="AT23" s="1097"/>
      <c r="AU23" s="514"/>
    </row>
    <row r="24" spans="1:47" ht="12.75" customHeight="1">
      <c r="A24" s="1074" t="str">
        <f>IF(AND('T3.8 Main Hoop Tubing'!D13&gt;='T3.8 Main Hoop Tubing'!C13,'T3.8 Main Hoop Tubing'!D14&gt;='T3.8 Main Hoop Tubing'!C14),"YES","NO")</f>
        <v>NO</v>
      </c>
      <c r="B24" s="1075"/>
      <c r="C24" s="1074" t="s">
        <v>76</v>
      </c>
      <c r="D24" s="1075"/>
      <c r="E24" s="1084" t="s">
        <v>77</v>
      </c>
      <c r="F24" s="1077"/>
      <c r="G24" s="1076" t="s">
        <v>78</v>
      </c>
      <c r="H24" s="1076"/>
      <c r="I24" s="1076"/>
      <c r="J24" s="1076"/>
      <c r="K24" s="1076"/>
      <c r="L24" s="1076"/>
      <c r="M24" s="1076"/>
      <c r="N24" s="1076"/>
      <c r="O24" s="1065" t="s">
        <v>1014</v>
      </c>
      <c r="P24" s="1065"/>
      <c r="Q24" s="1065"/>
      <c r="R24" s="1065"/>
      <c r="S24" s="1066"/>
      <c r="T24" s="653">
        <f>IF(A24="no",'T3.8 Main Hoop Tubing'!E20,"NA")</f>
        <v>149.49141481320081</v>
      </c>
      <c r="U24" s="572">
        <f>IF(A24="no",'T3.8 Main Hoop Tubing'!E21,"NA")</f>
        <v>101.4492753623188</v>
      </c>
      <c r="V24" s="572">
        <f>IF(A24="no",'T3.8 Main Hoop Tubing'!E22,"NA")</f>
        <v>101.44927536231882</v>
      </c>
      <c r="W24" s="572">
        <f>IF(A24="no",'T3.8 Main Hoop Tubing'!E23,"NA")</f>
        <v>101.44927536231883</v>
      </c>
      <c r="X24" s="572">
        <f>IF(A24="no",'T3.8 Main Hoop Tubing'!E24,"NA")</f>
        <v>101.44927536231883</v>
      </c>
      <c r="Y24" s="572">
        <f>IF(A24="no",'T3.8 Main Hoop Tubing'!E25,"NA")</f>
        <v>101.44927536231883</v>
      </c>
      <c r="Z24" s="572">
        <f>IF(A24="no",'T3.8 Main Hoop Tubing'!E26,"NA")</f>
        <v>126.5693978751767</v>
      </c>
      <c r="AA24" s="575">
        <f>IF(A24="no",'T3.8 Main Hoop Tubing'!E27,"NA")</f>
        <v>66.893473531544572</v>
      </c>
      <c r="AB24" s="572">
        <f>IF(A24="no",'T3.8 Main Hoop Tubing'!E28,"NA")</f>
        <v>107.16209020098295</v>
      </c>
      <c r="AC24" s="576" t="str">
        <f>'T3.8 Main Hoop Tubing'!D4</f>
        <v>Steel</v>
      </c>
      <c r="AD24" s="362" t="str">
        <f>'T3.8 Main Hoop Tubing'!D5</f>
        <v>Round</v>
      </c>
      <c r="AE24" s="577">
        <f>'T3.8 Main Hoop Tubing'!D13</f>
        <v>30</v>
      </c>
      <c r="AF24" s="578">
        <f>'T3.8 Main Hoop Tubing'!D14</f>
        <v>2</v>
      </c>
      <c r="AG24" s="579"/>
      <c r="AH24" s="579"/>
      <c r="AI24" s="580"/>
      <c r="AJ24" s="581"/>
      <c r="AK24" s="579"/>
      <c r="AL24" s="579"/>
      <c r="AM24" s="580"/>
      <c r="AN24" s="581"/>
      <c r="AO24" s="579"/>
      <c r="AP24" s="579"/>
      <c r="AQ24" s="580"/>
      <c r="AR24" s="580"/>
      <c r="AS24" s="581"/>
      <c r="AT24" s="581"/>
      <c r="AU24" s="514"/>
    </row>
    <row r="25" spans="1:47" ht="12.75" customHeight="1">
      <c r="A25" s="1074" t="str">
        <f>IF(AND('T3.9 Front Hoop Tubing'!D4='T3.9 Front Hoop Tubing'!C4,'T3.9 Front Hoop Tubing'!D5='T3.9 Front Hoop Tubing'!C5,'T3.9 Front Hoop Tubing'!D13&gt;='T3.9 Front Hoop Tubing'!C13,'T3.9 Front Hoop Tubing'!D14&gt;='T3.9 Front Hoop Tubing'!C14),"YES","NO")</f>
        <v>NO</v>
      </c>
      <c r="B25" s="1075"/>
      <c r="C25" s="1074" t="str">
        <f t="shared" ref="C25:C35" si="0">IF(A25="N/A","N/A",IF(A25="YES","NO","YES"))</f>
        <v>YES</v>
      </c>
      <c r="D25" s="1075"/>
      <c r="E25" s="1084" t="s">
        <v>79</v>
      </c>
      <c r="F25" s="1077"/>
      <c r="G25" s="1073" t="s">
        <v>80</v>
      </c>
      <c r="H25" s="1073"/>
      <c r="I25" s="1073"/>
      <c r="J25" s="1073"/>
      <c r="K25" s="1073"/>
      <c r="L25" s="1073"/>
      <c r="M25" s="1073"/>
      <c r="N25" s="1073"/>
      <c r="O25" s="1065" t="s">
        <v>1014</v>
      </c>
      <c r="P25" s="1065"/>
      <c r="Q25" s="1065"/>
      <c r="R25" s="1065"/>
      <c r="S25" s="1066"/>
      <c r="T25" s="653">
        <f>IF(A25="no",'T3.9 Front Hoop Tubing'!E20,"NA")</f>
        <v>149.49141481320081</v>
      </c>
      <c r="U25" s="572">
        <f>IF(A25="no",'T3.9 Front Hoop Tubing'!E21,"NA")</f>
        <v>101.4492753623188</v>
      </c>
      <c r="V25" s="572">
        <f>IF(A25="no",'T3.9 Front Hoop Tubing'!E22,"NA")</f>
        <v>101.44927536231882</v>
      </c>
      <c r="W25" s="572">
        <f>IF(A25="no",'T3.9 Front Hoop Tubing'!E23,"NA")</f>
        <v>101.44927536231883</v>
      </c>
      <c r="X25" s="572">
        <f>IF(A25="no",'T3.9 Front Hoop Tubing'!E24,"NA")</f>
        <v>101.44927536231883</v>
      </c>
      <c r="Y25" s="572">
        <f>IF(A25="no",'T3.9 Front Hoop Tubing'!E25,"NA")</f>
        <v>101.44927536231883</v>
      </c>
      <c r="Z25" s="572">
        <f>IF(A25="no",'T3.9 Front Hoop Tubing'!E26,"NA")</f>
        <v>126.5693978751767</v>
      </c>
      <c r="AA25" s="575">
        <f>IF(A25="no",'T3.9 Front Hoop Tubing'!E27,"NA")</f>
        <v>66.893473531544572</v>
      </c>
      <c r="AB25" s="572">
        <f>IF(A25="no",'T3.9 Front Hoop Tubing'!E28,"NA")</f>
        <v>107.16209020098295</v>
      </c>
      <c r="AC25" s="362" t="str">
        <f>'T3.9 Front Hoop Tubing'!D4</f>
        <v>Steel</v>
      </c>
      <c r="AD25" s="362" t="str">
        <f>'T3.9 Front Hoop Tubing'!D5</f>
        <v>Round</v>
      </c>
      <c r="AE25" s="577">
        <f>'T3.9 Front Hoop Tubing'!D13</f>
        <v>30</v>
      </c>
      <c r="AF25" s="578">
        <f>'T3.9 Front Hoop Tubing'!D14</f>
        <v>2</v>
      </c>
      <c r="AG25" s="579"/>
      <c r="AH25" s="579"/>
      <c r="AI25" s="580"/>
      <c r="AJ25" s="581"/>
      <c r="AK25" s="579"/>
      <c r="AL25" s="579"/>
      <c r="AM25" s="580"/>
      <c r="AN25" s="581"/>
      <c r="AO25" s="579"/>
      <c r="AP25" s="579"/>
      <c r="AQ25" s="580"/>
      <c r="AR25" s="580"/>
      <c r="AS25" s="581"/>
      <c r="AT25" s="581"/>
      <c r="AU25" s="514"/>
    </row>
    <row r="26" spans="1:47" ht="12.75" customHeight="1">
      <c r="A26" s="1074" t="str">
        <f>IF(AND('T3.10 Main Hoop Bracing'!D13&gt;='T3.10 Main Hoop Bracing'!C13,'T3.10 Main Hoop Bracing'!D14&gt;='T3.10 Main Hoop Bracing'!C14,'T3.10 Main Hoop Bracing'!D5='T3.10 Main Hoop Bracing'!C5),"YES","NO")</f>
        <v>NO</v>
      </c>
      <c r="B26" s="1075"/>
      <c r="C26" s="1074" t="str">
        <f t="shared" si="0"/>
        <v>YES</v>
      </c>
      <c r="D26" s="1075"/>
      <c r="E26" s="1084" t="s">
        <v>81</v>
      </c>
      <c r="F26" s="1077"/>
      <c r="G26" s="1073" t="s">
        <v>82</v>
      </c>
      <c r="H26" s="1073"/>
      <c r="I26" s="1073"/>
      <c r="J26" s="1073"/>
      <c r="K26" s="1073"/>
      <c r="L26" s="1073"/>
      <c r="M26" s="1073"/>
      <c r="N26" s="1073"/>
      <c r="O26" s="1065" t="s">
        <v>1014</v>
      </c>
      <c r="P26" s="1065"/>
      <c r="Q26" s="1065"/>
      <c r="R26" s="1065"/>
      <c r="S26" s="1066"/>
      <c r="T26" s="653">
        <f>IF(A26="NO",'T3.10 Main Hoop Bracing'!E20,"NA")</f>
        <v>129.24356363810895</v>
      </c>
      <c r="U26" s="572">
        <f>IF(A26="NO",'T3.10 Main Hoop Bracing'!E21,"NA")</f>
        <v>104.38550420168067</v>
      </c>
      <c r="V26" s="572">
        <f>IF(A26="NO",'T3.10 Main Hoop Bracing'!E22,"NA")</f>
        <v>104.38550420168067</v>
      </c>
      <c r="W26" s="572">
        <f>IF(A26="NO",'T3.10 Main Hoop Bracing'!E23,"NA")</f>
        <v>104.38550420168069</v>
      </c>
      <c r="X26" s="572">
        <f>IF(A26="NO",'T3.10 Main Hoop Bracing'!E24,"NA")</f>
        <v>104.38550420168067</v>
      </c>
      <c r="Y26" s="572">
        <f>IF(A26="NO",'T3.10 Main Hoop Bracing'!E25,"NA")</f>
        <v>104.38550420168067</v>
      </c>
      <c r="Z26" s="572">
        <f>IF(A26="NO",'T3.10 Main Hoop Bracing'!E26,"NA")</f>
        <v>117.24237558599884</v>
      </c>
      <c r="AA26" s="575">
        <f>IF(A26="NO",'T3.10 Main Hoop Bracing'!E27,"NA")</f>
        <v>77.373292089041286</v>
      </c>
      <c r="AB26" s="572">
        <f>IF(A26="NO",'T3.10 Main Hoop Bracing'!E28,"NA")</f>
        <v>106.35558356729896</v>
      </c>
      <c r="AC26" s="362" t="str">
        <f>'T3.10 Main Hoop Bracing'!D4</f>
        <v>Steel</v>
      </c>
      <c r="AD26" s="362" t="str">
        <f>'T3.10 Main Hoop Bracing'!D5</f>
        <v>Round</v>
      </c>
      <c r="AE26" s="577">
        <f>'T3.10 Main Hoop Bracing'!D13</f>
        <v>28</v>
      </c>
      <c r="AF26" s="578">
        <f>'T3.10 Main Hoop Bracing'!D14</f>
        <v>1.5</v>
      </c>
      <c r="AG26" s="579"/>
      <c r="AH26" s="579"/>
      <c r="AI26" s="579"/>
      <c r="AJ26" s="579"/>
      <c r="AK26" s="579"/>
      <c r="AL26" s="579"/>
      <c r="AM26" s="579"/>
      <c r="AN26" s="579"/>
      <c r="AO26" s="579"/>
      <c r="AP26" s="579"/>
      <c r="AQ26" s="579"/>
      <c r="AR26" s="579"/>
      <c r="AS26" s="579"/>
      <c r="AT26" s="579"/>
      <c r="AU26" s="514"/>
    </row>
    <row r="27" spans="1:47" ht="12.75" customHeight="1">
      <c r="A27" s="1074" t="str">
        <f>IF(NOT('T3.10.5 T3.5 MHoop Brace Spt'!F2="tubing only"),"N/A",IF(AND('T3.10.5 T3.5 MHoop Brace Spt'!E5='T3.10.5 T3.5 MHoop Brace Spt'!C5,'T3.10.5 T3.5 MHoop Brace Spt'!E15&gt;='T3.10.5 T3.5 MHoop Brace Spt'!C15,'T3.10.5 T3.5 MHoop Brace Spt'!E16&gt;='T3.10.5 T3.5 MHoop Brace Spt'!C16),"YES","NO"))</f>
        <v>NO</v>
      </c>
      <c r="B27" s="1075"/>
      <c r="C27" s="1074" t="str">
        <f>IF(A27="N/A","N/A",IF(A27="YES","NO","YES"))</f>
        <v>YES</v>
      </c>
      <c r="D27" s="1075"/>
      <c r="E27" s="1084" t="s">
        <v>83</v>
      </c>
      <c r="F27" s="1077"/>
      <c r="G27" s="1073" t="s">
        <v>84</v>
      </c>
      <c r="H27" s="1073"/>
      <c r="I27" s="1073"/>
      <c r="J27" s="1073"/>
      <c r="K27" s="1073"/>
      <c r="L27" s="1073"/>
      <c r="M27" s="1073"/>
      <c r="N27" s="1073"/>
      <c r="O27" s="1065" t="s">
        <v>1014</v>
      </c>
      <c r="P27" s="1065"/>
      <c r="Q27" s="1065"/>
      <c r="R27" s="1065"/>
      <c r="S27" s="1066"/>
      <c r="T27" s="653">
        <f>IF(A27="NO",'T3.10.5 T3.5 MHoop Brace Spt'!$H$27,"NA")</f>
        <v>114.64807688084528</v>
      </c>
      <c r="U27" s="572">
        <f>IF(A27="NO",'T3.10.5 T3.5 MHoop Brace Spt'!$H$28,"NA")</f>
        <v>121.38429752066116</v>
      </c>
      <c r="V27" s="572">
        <f>IF(A27="NO",'T3.10.5 T3.5 MHoop Brace Spt'!$H$29,"NA")</f>
        <v>121.38429752066116</v>
      </c>
      <c r="W27" s="572">
        <f>IF(A27="NO",'T3.10.5 T3.5 MHoop Brace Spt'!$H$30,"NA")</f>
        <v>121.38429752066116</v>
      </c>
      <c r="X27" s="572">
        <f>IF(A27="NO",'T3.10.5 T3.5 MHoop Brace Spt'!$H$31,"NA")</f>
        <v>121.38429752066116</v>
      </c>
      <c r="Y27" s="572">
        <f>IF(A27="NO",'T3.10.5 T3.5 MHoop Brace Spt'!$H$32,"NA")</f>
        <v>121.38429752066118</v>
      </c>
      <c r="Z27" s="572">
        <f>IF(A27="NO",'T3.10.5 T3.5 MHoop Brace Spt'!$H$33,"NA")</f>
        <v>116.48244611093881</v>
      </c>
      <c r="AA27" s="575">
        <f>IF(A27="NO",'T3.10.5 T3.5 MHoop Brace Spt'!$H$34,"NA")</f>
        <v>87.223443009803674</v>
      </c>
      <c r="AB27" s="572">
        <f>IF(A27="NO",'T3.10.5 T3.5 MHoop Brace Spt'!$H$35,"NA")</f>
        <v>118.3461652487138</v>
      </c>
      <c r="AC27" s="578" t="str">
        <f>IF(A27="N/A","",IF('T3.10.5 T3.5 MHoop Brace Spt'!$F$2="composite only","",'T3.10.5 T3.5 MHoop Brace Spt'!E5))</f>
        <v>Steel</v>
      </c>
      <c r="AD27" s="578" t="str">
        <f>IF(A27="N/A","",IF('T3.10.5 T3.5 MHoop Brace Spt'!$F$2="composite only","",'T3.10.5 T3.5 MHoop Brace Spt'!$E$6))</f>
        <v>Round</v>
      </c>
      <c r="AE27" s="577">
        <f>IF(A27="N/A","",IF('T3.10.5 T3.5 MHoop Brace Spt'!$F$2="composite only","",'T3.10.5 T3.5 MHoop Brace Spt'!$E$15))</f>
        <v>25</v>
      </c>
      <c r="AF27" s="578">
        <f>IF(A27="N/A","",IF('T3.10.5 T3.5 MHoop Brace Spt'!$F$2="composite only","",'T3.10.5 T3.5 MHoop Brace Spt'!$E$16))</f>
        <v>1.5</v>
      </c>
      <c r="AG27" s="579"/>
      <c r="AH27" s="579"/>
      <c r="AI27" s="579"/>
      <c r="AJ27" s="579"/>
      <c r="AK27" s="579"/>
      <c r="AL27" s="579"/>
      <c r="AM27" s="579"/>
      <c r="AN27" s="579"/>
      <c r="AO27" s="579"/>
      <c r="AP27" s="579"/>
      <c r="AQ27" s="579"/>
      <c r="AR27" s="579"/>
      <c r="AS27" s="579"/>
      <c r="AT27" s="579"/>
      <c r="AU27" s="514"/>
    </row>
    <row r="28" spans="1:47" ht="12.75" customHeight="1">
      <c r="A28" s="1074" t="str">
        <f>IF('T3.11 T3.5 FHoop Bracing'!F2="tubing only",IF(AND('T3.11 T3.5 FHoop Bracing'!E6='T3.11 T3.5 FHoop Bracing'!C6,'T3.11 T3.5 FHoop Bracing'!E15&gt;='T3.11 T3.5 FHoop Bracing'!C15,'T3.11 T3.5 FHoop Bracing'!E16&gt;='T3.11 T3.5 FHoop Bracing'!C16,'T3.11 T3.5 FHoop Bracing'!E5='T3.11 T3.5 FHoop Bracing'!C5),"YES","NO"),"N/A")</f>
        <v>NO</v>
      </c>
      <c r="B28" s="1075"/>
      <c r="C28" s="1074" t="str">
        <f t="shared" si="0"/>
        <v>YES</v>
      </c>
      <c r="D28" s="1075"/>
      <c r="E28" s="1084" t="s">
        <v>85</v>
      </c>
      <c r="F28" s="1077"/>
      <c r="G28" s="1073" t="s">
        <v>86</v>
      </c>
      <c r="H28" s="1073"/>
      <c r="I28" s="1073"/>
      <c r="J28" s="1073"/>
      <c r="K28" s="1073"/>
      <c r="L28" s="1073"/>
      <c r="M28" s="1073"/>
      <c r="N28" s="1073"/>
      <c r="O28" s="1065" t="s">
        <v>1014</v>
      </c>
      <c r="P28" s="1065"/>
      <c r="Q28" s="1065"/>
      <c r="R28" s="1065"/>
      <c r="S28" s="1066"/>
      <c r="T28" s="655">
        <f>IF($A$28="NO",'T3.11 T3.5 FHoop Bracing'!$H$27,"NA")</f>
        <v>129.24356363810895</v>
      </c>
      <c r="U28" s="572">
        <f>IF($A$28="NO",'T3.11 T3.5 FHoop Bracing'!$H$28,"NA")</f>
        <v>104.38550420168067</v>
      </c>
      <c r="V28" s="572">
        <f>IF($A$28="NO",'T3.11 T3.5 FHoop Bracing'!$H$29,"NA")</f>
        <v>104.38550420168067</v>
      </c>
      <c r="W28" s="572">
        <f>IF($A$28="NO",'T3.11 T3.5 FHoop Bracing'!$H$30,"NA")</f>
        <v>104.38550420168069</v>
      </c>
      <c r="X28" s="572">
        <f>IF($A$28="NO",'T3.11 T3.5 FHoop Bracing'!$H$31,"NA")</f>
        <v>104.38550420168067</v>
      </c>
      <c r="Y28" s="572">
        <f>IF($A$28="NO",'T3.11 T3.5 FHoop Bracing'!$H$32,"NA")</f>
        <v>104.38550420168067</v>
      </c>
      <c r="Z28" s="572">
        <f>IF($A$28="NO",'T3.11 T3.5 FHoop Bracing'!$H$33,"NA")</f>
        <v>117.24237558599884</v>
      </c>
      <c r="AA28" s="575">
        <f>IF($A$28="NO",'T3.11 T3.5 FHoop Bracing'!$H$34,"NA")</f>
        <v>77.3732920890413</v>
      </c>
      <c r="AB28" s="572">
        <f>IF($A$28="NO",'T3.11 T3.5 FHoop Bracing'!$H$35,"NA")</f>
        <v>106.35558356729896</v>
      </c>
      <c r="AC28" s="578" t="str">
        <f>IF(A28="N/A","",IF('T3.11 T3.5 FHoop Bracing'!$F$2="Composite Only","",'T3.11 T3.5 FHoop Bracing'!$E$5))</f>
        <v>Steel</v>
      </c>
      <c r="AD28" s="578" t="str">
        <f>IF(A28="N/A","",IF('T3.11 T3.5 FHoop Bracing'!$F$2="Composite Only","",'T3.11 T3.5 FHoop Bracing'!$E$6))</f>
        <v>Round</v>
      </c>
      <c r="AE28" s="577">
        <f>IF(A28="N/A","",IF('T3.11 T3.5 FHoop Bracing'!$F$2="Composite Only","",'T3.11 T3.5 FHoop Bracing'!$E$15))</f>
        <v>28</v>
      </c>
      <c r="AF28" s="578">
        <f>IF(A28="N/A","",IF('T3.11 T3.5 FHoop Bracing'!$F$2="Composite Only","",'T3.11 T3.5 FHoop Bracing'!$E$16))</f>
        <v>1.5</v>
      </c>
      <c r="AG28" s="579"/>
      <c r="AH28" s="579"/>
      <c r="AI28" s="579"/>
      <c r="AJ28" s="579"/>
      <c r="AK28" s="579"/>
      <c r="AL28" s="579"/>
      <c r="AM28" s="579"/>
      <c r="AN28" s="579"/>
      <c r="AO28" s="579"/>
      <c r="AP28" s="579"/>
      <c r="AQ28" s="579"/>
      <c r="AR28" s="579"/>
      <c r="AS28" s="579"/>
      <c r="AT28" s="579"/>
      <c r="AU28" s="514"/>
    </row>
    <row r="29" spans="1:47" ht="12.75" customHeight="1">
      <c r="A29" s="1074" t="str">
        <f>IF(NOT('T3.13 T3.5 Ft Bulkhead'!F2="tubing only"),"N/A",IF(AND('T3.13 T3.5 Ft Bulkhead'!E5='T3.13 T3.5 Ft Bulkhead'!C5,'T3.13 T3.5 Ft Bulkhead'!E17&gt;='T3.13 T3.5 Ft Bulkhead'!C17,'T3.13 T3.5 Ft Bulkhead'!E18&gt;='T3.13 T3.5 Ft Bulkhead'!C18),"YES","NO"))</f>
        <v>YES</v>
      </c>
      <c r="B29" s="1075"/>
      <c r="C29" s="1074" t="str">
        <f t="shared" si="0"/>
        <v>NO</v>
      </c>
      <c r="D29" s="1075"/>
      <c r="E29" s="1084" t="s">
        <v>87</v>
      </c>
      <c r="F29" s="1077"/>
      <c r="G29" s="1073" t="s">
        <v>88</v>
      </c>
      <c r="H29" s="1073"/>
      <c r="I29" s="1073"/>
      <c r="J29" s="1073"/>
      <c r="K29" s="1073"/>
      <c r="L29" s="1073"/>
      <c r="M29" s="1073"/>
      <c r="N29" s="1073"/>
      <c r="O29" s="1065" t="s">
        <v>1014</v>
      </c>
      <c r="P29" s="1065"/>
      <c r="Q29" s="1065"/>
      <c r="R29" s="1065"/>
      <c r="S29" s="1066"/>
      <c r="T29" s="653" t="str">
        <f>IF($A$29="NO",'T3.13 T3.5 Ft Bulkhead'!$H30,"NA")</f>
        <v>NA</v>
      </c>
      <c r="U29" s="572" t="str">
        <f>IF($A$29="NO",'T3.13 T3.5 Ft Bulkhead'!$H31,"NA")</f>
        <v>NA</v>
      </c>
      <c r="V29" s="572" t="str">
        <f>IF($A$29="NO",'T3.13 T3.5 Ft Bulkhead'!$H32,"NA")</f>
        <v>NA</v>
      </c>
      <c r="W29" s="572" t="str">
        <f>IF($A$29="NO",'T3.13 T3.5 Ft Bulkhead'!$H33,"NA")</f>
        <v>NA</v>
      </c>
      <c r="X29" s="572" t="str">
        <f>IF($A$29="NO",'T3.13 T3.5 Ft Bulkhead'!$H34,"NA")</f>
        <v>NA</v>
      </c>
      <c r="Y29" s="572" t="str">
        <f>IF($A$29="NO",'T3.13 T3.5 Ft Bulkhead'!$H35,"NA")</f>
        <v>NA</v>
      </c>
      <c r="Z29" s="572" t="str">
        <f>IF($A$29="NO",'T3.13 T3.5 Ft Bulkhead'!$H36,"NA")</f>
        <v>NA</v>
      </c>
      <c r="AA29" s="575" t="str">
        <f>IF($A$29="NO",'T3.13 T3.5 Ft Bulkhead'!$H37,"NA")</f>
        <v>NA</v>
      </c>
      <c r="AB29" s="572" t="str">
        <f>IF($A$29="NO",'T3.13 T3.5 Ft Bulkhead'!$H38,"NA")</f>
        <v>NA</v>
      </c>
      <c r="AC29" s="578" t="str">
        <f>IF(A29="N/A","",IF('T3.13 T3.5 Ft Bulkhead'!$F$2="Composite only","",'T3.13 T3.5 Ft Bulkhead'!$E$5))</f>
        <v>Steel</v>
      </c>
      <c r="AD29" s="578" t="str">
        <f>IF(A29="N/A","",IF('T3.13 T3.5 Ft Bulkhead'!$F$2="Composite only","",'T3.13 T3.5 Ft Bulkhead'!$E$6))</f>
        <v>Round</v>
      </c>
      <c r="AE29" s="577">
        <f>IF(A29="N/A","",IF('T3.13 T3.5 Ft Bulkhead'!$F$2="Composite only","",'T3.13 T3.5 Ft Bulkhead'!$E$18))</f>
        <v>28</v>
      </c>
      <c r="AF29" s="578">
        <f>IF(A29="N/A","",IF('T3.13 T3.5 Ft Bulkhead'!$F$2="Composite only","",'T3.13 T3.5 Ft Bulkhead'!$E$19))</f>
        <v>1.5</v>
      </c>
      <c r="AG29" s="579"/>
      <c r="AH29" s="579"/>
      <c r="AI29" s="579"/>
      <c r="AJ29" s="579"/>
      <c r="AK29" s="579"/>
      <c r="AL29" s="579"/>
      <c r="AM29" s="579"/>
      <c r="AN29" s="579"/>
      <c r="AO29" s="579"/>
      <c r="AP29" s="579"/>
      <c r="AQ29" s="579"/>
      <c r="AR29" s="579"/>
      <c r="AS29" s="579"/>
      <c r="AT29" s="579"/>
      <c r="AU29" s="514"/>
    </row>
    <row r="30" spans="1:47" ht="12.75" customHeight="1">
      <c r="A30" s="1074" t="str">
        <f>IF(NOT('T3.14 T3.5 FBH Spt Structure'!F2="tubing only"),"N/A",IF('T3.14 T3.5 FBH Spt Structure'!G17="YES","YES","NO"))</f>
        <v>NO</v>
      </c>
      <c r="B30" s="1075"/>
      <c r="C30" s="1074" t="str">
        <f t="shared" si="0"/>
        <v>YES</v>
      </c>
      <c r="D30" s="1075"/>
      <c r="E30" s="1085" t="s">
        <v>89</v>
      </c>
      <c r="F30" s="1086"/>
      <c r="G30" s="1141" t="s">
        <v>90</v>
      </c>
      <c r="H30" s="1141"/>
      <c r="I30" s="1141"/>
      <c r="J30" s="1141"/>
      <c r="K30" s="1141"/>
      <c r="L30" s="1141"/>
      <c r="M30" s="1141"/>
      <c r="N30" s="1141"/>
      <c r="O30" s="1142" t="s">
        <v>1014</v>
      </c>
      <c r="P30" s="1142"/>
      <c r="Q30" s="1142"/>
      <c r="R30" s="1142"/>
      <c r="S30" s="1143"/>
      <c r="T30" s="656">
        <f>IF($A$30="NO",'T3.14 T3.5 FBH Spt Structure'!$K$27,"NA")</f>
        <v>131.18442824186045</v>
      </c>
      <c r="U30" s="582">
        <f>IF($A$30="NO",'T3.14 T3.5 FBH Spt Structure'!$K$28,"NA")</f>
        <v>126.54958677685953</v>
      </c>
      <c r="V30" s="582">
        <f>IF($A$30="NO",'T3.14 T3.5 FBH Spt Structure'!$K$29,"NA")</f>
        <v>126.54958677685953</v>
      </c>
      <c r="W30" s="582">
        <f>IF($A$30="NO",'T3.14 T3.5 FBH Spt Structure'!$K$30,"NA")</f>
        <v>126.54958677685951</v>
      </c>
      <c r="X30" s="582">
        <f>IF($A$30="NO",'T3.14 T3.5 FBH Spt Structure'!$K$31,"NA")</f>
        <v>126.54958677685953</v>
      </c>
      <c r="Y30" s="582">
        <f>IF($A$30="NO",'T3.14 T3.5 FBH Spt Structure'!$K$32,"NA")</f>
        <v>126.54958677685954</v>
      </c>
      <c r="Z30" s="582">
        <f>IF($A$30="NO",'T3.14 T3.5 FBH Spt Structure'!$K$33,"NA")</f>
        <v>127.32319177018331</v>
      </c>
      <c r="AA30" s="575">
        <f>IF($A$30="NO",'T3.14 T3.5 FBH Spt Structure'!$K$34,"NA")</f>
        <v>76.228559547961979</v>
      </c>
      <c r="AB30" s="582">
        <f>IF($A$30="NO",'T3.14 T3.5 FBH Spt Structure'!$K$35,"NA")</f>
        <v>123.95362148071727</v>
      </c>
      <c r="AC30" s="583" t="str">
        <f>IF('T3.14 T3.5 FBH Spt Structure'!$F$2="tubing only",'T3.14 T3.5 FBH Spt Structure'!$E$5,"")</f>
        <v>Steel</v>
      </c>
      <c r="AD30" s="583" t="str">
        <f>IF('T3.14 T3.5 FBH Spt Structure'!$F$2="tubing only",'T3.14 T3.5 FBH Spt Structure'!$E$6,"")</f>
        <v>Round</v>
      </c>
      <c r="AE30" s="584">
        <f>IF('T3.14 T3.5 FBH Spt Structure'!$F$2="tubing only",'T3.14 T3.5 FBH Spt Structure'!$E$15,"")</f>
        <v>28</v>
      </c>
      <c r="AF30" s="583">
        <f>IF('T3.14 T3.5 FBH Spt Structure'!$F$2="tubing only",'T3.14 T3.5 FBH Spt Structure'!$E$16,"")</f>
        <v>1.5</v>
      </c>
      <c r="AG30" s="583" t="str">
        <f>IF('T3.14 T3.5 FBH Spt Structure'!$F$2="tubing only",IF('T3.14 T3.5 FBH Spt Structure'!$F$14&gt;0,'T3.14 T3.5 FBH Spt Structure'!$F$5,""),"")</f>
        <v>Steel</v>
      </c>
      <c r="AH30" s="583" t="str">
        <f>IF('T3.14 T3.5 FBH Spt Structure'!$F$2="tubing only",IF('T3.14 T3.5 FBH Spt Structure'!$F$14&gt;0,'T3.14 T3.5 FBH Spt Structure'!$F$6,""),"")</f>
        <v>Round</v>
      </c>
      <c r="AI30" s="584">
        <f>IF('T3.14 T3.5 FBH Spt Structure'!$F$2="tubing only",IF('T3.14 T3.5 FBH Spt Structure'!$F$14&gt;0,'T3.14 T3.5 FBH Spt Structure'!$F$15,""),"")</f>
        <v>25</v>
      </c>
      <c r="AJ30" s="583">
        <f>IF('T3.14 T3.5 FBH Spt Structure'!$F$2="tubing only",IF('T3.14 T3.5 FBH Spt Structure'!$F$14&gt;0,'T3.14 T3.5 FBH Spt Structure'!$F$16,""),"")</f>
        <v>1.5</v>
      </c>
      <c r="AK30" s="583" t="str">
        <f>IF('T3.14 T3.5 FBH Spt Structure'!$F$2="tubing only",IF('T3.14 T3.5 FBH Spt Structure'!$G$14&gt;0,'T3.14 T3.5 FBH Spt Structure'!$G$5,""),"")</f>
        <v/>
      </c>
      <c r="AL30" s="583" t="str">
        <f>IF('T3.14 T3.5 FBH Spt Structure'!$F$2="tubing only",IF('T3.14 T3.5 FBH Spt Structure'!$G$14&gt;0,'T3.14 T3.5 FBH Spt Structure'!$G$6,""),"")</f>
        <v/>
      </c>
      <c r="AM30" s="584" t="str">
        <f>IF('T3.14 T3.5 FBH Spt Structure'!$F$2="tubing only",IF('T3.14 T3.5 FBH Spt Structure'!$G$14&gt;0,'T3.14 T3.5 FBH Spt Structure'!$G$15,""),"")</f>
        <v/>
      </c>
      <c r="AN30" s="583" t="str">
        <f>IF('T3.14 T3.5 FBH Spt Structure'!$F$2="tubing only",IF('T3.14 T3.5 FBH Spt Structure'!$G$14&gt;0,'T3.14 T3.5 FBH Spt Structure'!$G$16,""),"")</f>
        <v/>
      </c>
      <c r="AO30" s="583"/>
      <c r="AP30" s="584"/>
      <c r="AQ30" s="583"/>
      <c r="AR30" s="583"/>
      <c r="AS30" s="585"/>
      <c r="AT30" s="586"/>
      <c r="AU30" s="514"/>
    </row>
    <row r="31" spans="1:47" ht="12.75" customHeight="1">
      <c r="A31" s="1074" t="str">
        <f>IF(NOT('T3.15 T3.5 SIS'!F2="tubing only"),"N/A",IF('T3.15 T3.5 SIS'!G17="YES","YES","NO"))</f>
        <v>NO</v>
      </c>
      <c r="B31" s="1075"/>
      <c r="C31" s="1074" t="str">
        <f t="shared" si="0"/>
        <v>YES</v>
      </c>
      <c r="D31" s="1075"/>
      <c r="E31" s="1084" t="s">
        <v>91</v>
      </c>
      <c r="F31" s="1077"/>
      <c r="G31" s="1073" t="s">
        <v>92</v>
      </c>
      <c r="H31" s="1073"/>
      <c r="I31" s="1073"/>
      <c r="J31" s="1073"/>
      <c r="K31" s="1073"/>
      <c r="L31" s="1073"/>
      <c r="M31" s="1073"/>
      <c r="N31" s="1073"/>
      <c r="O31" s="1065" t="s">
        <v>1014</v>
      </c>
      <c r="P31" s="1065"/>
      <c r="Q31" s="1065"/>
      <c r="R31" s="1065"/>
      <c r="S31" s="1066"/>
      <c r="T31" s="653">
        <f>IF($A$31="NO",'T3.15 T3.5 SIS'!$L$27,"NA")</f>
        <v>129.24356363810895</v>
      </c>
      <c r="U31" s="572">
        <f>IF($A$31="NO",'T3.15 T3.5 SIS'!$L$28,"NA")</f>
        <v>104.38550420168067</v>
      </c>
      <c r="V31" s="572">
        <f>IF($A$31="NO",'T3.15 T3.5 SIS'!$L$29,"NA")</f>
        <v>104.38550420168067</v>
      </c>
      <c r="W31" s="572">
        <f>IF($A$31="NO",'T3.15 T3.5 SIS'!$L$30,"NA")</f>
        <v>104.38550420168069</v>
      </c>
      <c r="X31" s="572">
        <f>IF($A$31="NO",'T3.15 T3.5 SIS'!$L$31,"NA")</f>
        <v>104.38550420168067</v>
      </c>
      <c r="Y31" s="572">
        <f>IF($A$31="NO",'T3.15 T3.5 SIS'!$L$32,"NA")</f>
        <v>104.38550420168069</v>
      </c>
      <c r="Z31" s="572">
        <f>IF($A$31="NO",'T3.15 T3.5 SIS'!$L$33,"NA")</f>
        <v>117.24237558599884</v>
      </c>
      <c r="AA31" s="575">
        <f>IF($A$31="NO",'T3.15 T3.5 SIS'!$L$34,"NA")</f>
        <v>77.373292089041286</v>
      </c>
      <c r="AB31" s="572">
        <f>IF($A$31="NO",'T3.15 T3.5 SIS'!$L$35,"NA")</f>
        <v>106.35558356729896</v>
      </c>
      <c r="AC31" s="578" t="str">
        <f>IF('T3.15 T3.5 SIS'!$F$2="tubing only",'T3.15 T3.5 SIS'!$E$5,"")</f>
        <v>Steel</v>
      </c>
      <c r="AD31" s="578" t="str">
        <f>IF('T3.15 T3.5 SIS'!$F$2="tubing only",'T3.15 T3.5 SIS'!$E$6,"")</f>
        <v>Round</v>
      </c>
      <c r="AE31" s="577">
        <f>IF('T3.15 T3.5 SIS'!$F$2="tubing only",'T3.15 T3.5 SIS'!$E$15,"")</f>
        <v>28</v>
      </c>
      <c r="AF31" s="578">
        <f>IF('T3.15 T3.5 SIS'!$F$2="tubing only",'T3.15 T3.5 SIS'!$E$16,"")</f>
        <v>1.5</v>
      </c>
      <c r="AG31" s="578" t="str">
        <f>IF('T3.15 T3.5 SIS'!$F$2="tubing only",IF('T3.15 T3.5 SIS'!$F$14&gt;0,'T3.15 T3.5 SIS'!$F$5,""),"")</f>
        <v/>
      </c>
      <c r="AH31" s="578" t="str">
        <f>IF('T3.15 T3.5 SIS'!$F$2="tubing only",IF('T3.15 T3.5 SIS'!$F$14&gt;0,'T3.15 T3.5 SIS'!$F$6,""),"")</f>
        <v/>
      </c>
      <c r="AI31" s="577" t="str">
        <f>IF('T3.15 T3.5 SIS'!$F$2="tubing only",IF('T3.15 T3.5 SIS'!$F$14&gt;0,'T3.15 T3.5 SIS'!$F$15,""),"")</f>
        <v/>
      </c>
      <c r="AJ31" s="578" t="str">
        <f>IF('T3.15 T3.5 SIS'!$F$2="tubing only",IF('T3.15 T3.5 SIS'!$F$14&gt;0,'T3.15 T3.5 SIS'!$F$16,""),"")</f>
        <v/>
      </c>
      <c r="AK31" s="578" t="str">
        <f>IF('T3.15 T3.5 SIS'!$F$2="tubing only",IF('T3.15 T3.5 SIS'!$G$14&gt;0,'T3.15 T3.5 SIS'!$G$5,""),"")</f>
        <v/>
      </c>
      <c r="AL31" s="578" t="str">
        <f>IF('T3.15 T3.5 SIS'!$F$2="tubing only",IF('T3.15 T3.5 SIS'!$G$14&gt;0,'T3.15 T3.5 SIS'!$G$6,""),"")</f>
        <v/>
      </c>
      <c r="AM31" s="577" t="str">
        <f>IF('T3.15 T3.5 SIS'!$F$2="tubing only",IF('T3.15 T3.5 SIS'!$G$14&gt;0,'T3.15 T3.5 SIS'!$G$15,""),"")</f>
        <v/>
      </c>
      <c r="AN31" s="578" t="str">
        <f>IF('T3.15 T3.5 SIS'!$F$2="tubing only",IF('T3.15 T3.5 SIS'!$G$14&gt;0,'T3.15 T3.5 SIS'!$G$16,""),"")</f>
        <v/>
      </c>
      <c r="AO31" s="581"/>
      <c r="AP31" s="580"/>
      <c r="AQ31" s="581"/>
      <c r="AR31" s="581"/>
      <c r="AS31" s="587"/>
      <c r="AT31" s="587"/>
      <c r="AU31" s="514"/>
    </row>
    <row r="32" spans="1:47" ht="12.75" customHeight="1">
      <c r="A32" s="1074" t="str">
        <f>IF(AND('T4.5 Shoulder Harness Bar'!F2="tubing only",'T4.5 Shoulder Harness Bar'!E5='T4.5 Shoulder Harness Bar'!C5,'T4.5 Shoulder Harness Bar'!E15&gt;='T4.5 Shoulder Harness Bar'!C15,'T4.5 Shoulder Harness Bar'!E16&gt;='T4.5 Shoulder Harness Bar'!C16),"YES","NO")</f>
        <v>NO</v>
      </c>
      <c r="B32" s="1075"/>
      <c r="C32" s="1074" t="str">
        <f>IF(A32="N/A","N/A",IF(A32="YES","NO","YES"))</f>
        <v>YES</v>
      </c>
      <c r="D32" s="1075"/>
      <c r="E32" s="1084" t="s">
        <v>93</v>
      </c>
      <c r="F32" s="1077"/>
      <c r="G32" s="1073" t="s">
        <v>94</v>
      </c>
      <c r="H32" s="1073"/>
      <c r="I32" s="1073"/>
      <c r="J32" s="1073"/>
      <c r="K32" s="1073"/>
      <c r="L32" s="1073"/>
      <c r="M32" s="1073"/>
      <c r="N32" s="1073"/>
      <c r="O32" s="1065" t="s">
        <v>1014</v>
      </c>
      <c r="P32" s="1065"/>
      <c r="Q32" s="1065"/>
      <c r="R32" s="1065"/>
      <c r="S32" s="1066"/>
      <c r="T32" s="653">
        <f>IF(A32="YES","NA",'T4.5 Shoulder Harness Bar'!H29)</f>
        <v>149.49141481320081</v>
      </c>
      <c r="U32" s="572">
        <f>IF(A32="YES","NA",'T4.5 Shoulder Harness Bar'!H30)</f>
        <v>101.4492753623188</v>
      </c>
      <c r="V32" s="572">
        <f>IF(A32="YES","NA",'T4.5 Shoulder Harness Bar'!H31)</f>
        <v>101.44927536231882</v>
      </c>
      <c r="W32" s="572">
        <f>IF(A32="YES","NA",'T4.5 Shoulder Harness Bar'!H32)</f>
        <v>101.44927536231883</v>
      </c>
      <c r="X32" s="572">
        <f>IF(A32="YES","NA",'T4.5 Shoulder Harness Bar'!H33)</f>
        <v>101.44927536231883</v>
      </c>
      <c r="Y32" s="572">
        <f>IF(A32="YES","NA",'T4.5 Shoulder Harness Bar'!H34)</f>
        <v>101.44927536231883</v>
      </c>
      <c r="Z32" s="572">
        <f>IF(A32="YES","NA",'T4.5 Shoulder Harness Bar'!H35)</f>
        <v>126.5693978751767</v>
      </c>
      <c r="AA32" s="575">
        <f>IF(A32="YES","NA",'T4.5 Shoulder Harness Bar'!H36)</f>
        <v>66.893473531544572</v>
      </c>
      <c r="AB32" s="572">
        <f>IF(A32="YES","NA",'T4.5 Shoulder Harness Bar'!H37)</f>
        <v>107.16209020098295</v>
      </c>
      <c r="AC32" s="578" t="str">
        <f>IF('T4.5 Shoulder Harness Bar'!F2="composite only","",'T4.5 Shoulder Harness Bar'!E5)</f>
        <v>Steel</v>
      </c>
      <c r="AD32" s="578" t="str">
        <f>IF('T4.5 Shoulder Harness Bar'!F2="composite only","",'T4.5 Shoulder Harness Bar'!E6)</f>
        <v>Round</v>
      </c>
      <c r="AE32" s="577">
        <f>IF('T4.5 Shoulder Harness Bar'!F2="composite only","",'T4.5 Shoulder Harness Bar'!E15)</f>
        <v>30</v>
      </c>
      <c r="AF32" s="578">
        <f>IF('T4.5 Shoulder Harness Bar'!F2="composite only","",'T4.5 Shoulder Harness Bar'!E16)</f>
        <v>2</v>
      </c>
      <c r="AG32" s="579"/>
      <c r="AH32" s="579"/>
      <c r="AI32" s="579"/>
      <c r="AJ32" s="579"/>
      <c r="AK32" s="579"/>
      <c r="AL32" s="579"/>
      <c r="AM32" s="579"/>
      <c r="AN32" s="579"/>
      <c r="AO32" s="578" t="str">
        <f>IF('T4.5 Shoulder Harness Bar'!F2="tubing only","",'T4.5 Shoulder Harness Bar'!F5)</f>
        <v/>
      </c>
      <c r="AP32" s="577" t="str">
        <f>IF('T4.5 Shoulder Harness Bar'!F2="tubing only","",'T4.5 Shoulder Harness Bar'!F20)</f>
        <v/>
      </c>
      <c r="AQ32" s="578" t="str">
        <f>IF('T4.5 Shoulder Harness Bar'!$F$2="tubing only","",'T4.5 Shoulder Harness Bar'!F22)</f>
        <v/>
      </c>
      <c r="AR32" s="578" t="str">
        <f>IF('T4.5 Shoulder Harness Bar'!$F$2="tubing only","",'T4.5 Shoulder Harness Bar'!F23)</f>
        <v/>
      </c>
      <c r="AS32" s="586" t="str">
        <f>IF('T4.5 Shoulder Harness Bar'!F2="tubing only","",'T4.5 Shoulder Harness Bar'!F24)</f>
        <v/>
      </c>
      <c r="AT32" s="586"/>
      <c r="AU32" s="514"/>
    </row>
    <row r="33" spans="1:47" ht="12.75" customHeight="1">
      <c r="A33" s="1074" t="str">
        <f>IF('T3.17.3 IA AI Plate'!D23="YES","YES","NO")</f>
        <v>YES</v>
      </c>
      <c r="B33" s="1075"/>
      <c r="C33" s="1074" t="str">
        <f>IF(A33="N/A","N/A",IF(A33="YES","NO","YES"))</f>
        <v>NO</v>
      </c>
      <c r="D33" s="1075"/>
      <c r="E33" s="1077" t="s">
        <v>95</v>
      </c>
      <c r="F33" s="1077"/>
      <c r="G33" s="1073" t="s">
        <v>96</v>
      </c>
      <c r="H33" s="1073"/>
      <c r="I33" s="1073"/>
      <c r="J33" s="1073"/>
      <c r="K33" s="1073"/>
      <c r="L33" s="1073"/>
      <c r="M33" s="1073"/>
      <c r="N33" s="1073"/>
      <c r="O33" s="1065" t="s">
        <v>1020</v>
      </c>
      <c r="P33" s="1065"/>
      <c r="Q33" s="1065"/>
      <c r="R33" s="1065"/>
      <c r="S33" s="1066"/>
      <c r="T33" s="653" t="str">
        <f>IF(A33="YES","NA",IF('T3.17.3 IA AI Plate'!$D$23="NO","CH"))</f>
        <v>NA</v>
      </c>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14"/>
    </row>
    <row r="34" spans="1:47" ht="12.75" customHeight="1">
      <c r="A34" s="1078" t="str">
        <f>IF('T3.11 T3.5 FHoop Bracing'!F2="tubing only","N/A","NO")</f>
        <v>N/A</v>
      </c>
      <c r="B34" s="1079"/>
      <c r="C34" s="1078" t="str">
        <f t="shared" si="0"/>
        <v>N/A</v>
      </c>
      <c r="D34" s="1079"/>
      <c r="E34" s="1084" t="s">
        <v>97</v>
      </c>
      <c r="F34" s="1077"/>
      <c r="G34" s="1073" t="s">
        <v>98</v>
      </c>
      <c r="H34" s="1073"/>
      <c r="I34" s="1073"/>
      <c r="J34" s="1073"/>
      <c r="K34" s="1073"/>
      <c r="L34" s="1073"/>
      <c r="M34" s="1073"/>
      <c r="N34" s="1073"/>
      <c r="O34" s="1065" t="s">
        <v>358</v>
      </c>
      <c r="P34" s="1065"/>
      <c r="Q34" s="1065"/>
      <c r="R34" s="1065"/>
      <c r="S34" s="1066"/>
      <c r="T34" s="655" t="str">
        <f>IF($A$34="NO",'T3.11 T3.5 FHoop Bracing'!$H$27,"NA")</f>
        <v>NA</v>
      </c>
      <c r="U34" s="572" t="str">
        <f>IF($A$34="NO",'T3.11 T3.5 FHoop Bracing'!$H$28,"NA")</f>
        <v>NA</v>
      </c>
      <c r="V34" s="572" t="str">
        <f>IF($A$34="NO",'T3.11 T3.5 FHoop Bracing'!$H$29,"NA")</f>
        <v>NA</v>
      </c>
      <c r="W34" s="572" t="str">
        <f>IF($A$34="NO",'T3.11 T3.5 FHoop Bracing'!$H$30,"NA")</f>
        <v>NA</v>
      </c>
      <c r="X34" s="572" t="str">
        <f>IF($A$34="NO",'T3.11 T3.5 FHoop Bracing'!$H$31,"NA")</f>
        <v>NA</v>
      </c>
      <c r="Y34" s="572" t="str">
        <f>IF($A$34="NO",'T3.11 T3.5 FHoop Bracing'!$H$32,"NA")</f>
        <v>NA</v>
      </c>
      <c r="Z34" s="572" t="str">
        <f>IF($A$34="NO",'T3.11 T3.5 FHoop Bracing'!$H$33,"NA")</f>
        <v>NA</v>
      </c>
      <c r="AA34" s="575" t="str">
        <f>IF($A$34="NO",'T3.11 T3.5 FHoop Bracing'!$H$34,"NA")</f>
        <v>NA</v>
      </c>
      <c r="AB34" s="572" t="str">
        <f>IF($A$34="NO",'T3.11 T3.5 FHoop Bracing'!$H$35,"NA")</f>
        <v>NA</v>
      </c>
      <c r="AC34" s="578" t="str">
        <f>IF('T3.11 T3.5 FHoop Bracing'!$F$2="tubing Only","",'T3.11 T3.5 FHoop Bracing'!$E$5)</f>
        <v/>
      </c>
      <c r="AD34" s="578" t="str">
        <f>IF('T3.11 T3.5 FHoop Bracing'!$F$2="tubing Only","",'T3.11 T3.5 FHoop Bracing'!$E$6)</f>
        <v/>
      </c>
      <c r="AE34" s="577" t="str">
        <f>IF('T3.11 T3.5 FHoop Bracing'!$F$2="tubing Only","",'T3.11 T3.5 FHoop Bracing'!$E$15)</f>
        <v/>
      </c>
      <c r="AF34" s="578" t="str">
        <f>IF('T3.11 T3.5 FHoop Bracing'!$F$2="tubing Only","",'T3.11 T3.5 FHoop Bracing'!$E$16)</f>
        <v/>
      </c>
      <c r="AG34" s="579"/>
      <c r="AH34" s="579"/>
      <c r="AI34" s="579"/>
      <c r="AJ34" s="579"/>
      <c r="AK34" s="579"/>
      <c r="AL34" s="579"/>
      <c r="AM34" s="579"/>
      <c r="AN34" s="579"/>
      <c r="AO34" s="578" t="str">
        <f>IF('T3.11 T3.5 FHoop Bracing'!$F$2="tubing Only","",'T3.11 T3.5 FHoop Bracing'!$F$5)</f>
        <v/>
      </c>
      <c r="AP34" s="577" t="str">
        <f>IF('T3.11 T3.5 FHoop Bracing'!$F$2="tubing Only","",'T3.11 T3.5 FHoop Bracing'!$F$18)</f>
        <v/>
      </c>
      <c r="AQ34" s="578" t="str">
        <f>IF('T3.11 T3.5 FHoop Bracing'!$F$2="tubing Only","",'T3.11 T3.5 FHoop Bracing'!$F$20)</f>
        <v/>
      </c>
      <c r="AR34" s="578" t="str">
        <f>IF('T3.11 T3.5 FHoop Bracing'!$F$2="tubing Only","",'T3.11 T3.5 FHoop Bracing'!$F$20)</f>
        <v/>
      </c>
      <c r="AS34" s="586" t="str">
        <f>IF('T3.11 T3.5 FHoop Bracing'!$F$2="tubing Only","",'T3.11 T3.5 FHoop Bracing'!$F$22)</f>
        <v/>
      </c>
      <c r="AT34" s="586"/>
      <c r="AU34" s="514"/>
    </row>
    <row r="35" spans="1:47" ht="12.75" customHeight="1">
      <c r="A35" s="1078" t="str">
        <f>IF('T3.13 T3.5 Ft Bulkhead'!F2="tubing only","N/A","NO")</f>
        <v>N/A</v>
      </c>
      <c r="B35" s="1079"/>
      <c r="C35" s="1078" t="str">
        <f t="shared" si="0"/>
        <v>N/A</v>
      </c>
      <c r="D35" s="1079"/>
      <c r="E35" s="1077" t="s">
        <v>99</v>
      </c>
      <c r="F35" s="1077"/>
      <c r="G35" s="1073" t="s">
        <v>100</v>
      </c>
      <c r="H35" s="1073"/>
      <c r="I35" s="1073"/>
      <c r="J35" s="1073"/>
      <c r="K35" s="1073"/>
      <c r="L35" s="1073"/>
      <c r="M35" s="1073"/>
      <c r="N35" s="1073"/>
      <c r="O35" s="1065" t="s">
        <v>358</v>
      </c>
      <c r="P35" s="1065"/>
      <c r="Q35" s="1065"/>
      <c r="R35" s="1065"/>
      <c r="S35" s="1066"/>
      <c r="T35" s="653" t="str">
        <f>IF($A$35="NO",'T3.13 T3.5 Ft Bulkhead'!$H30,"NA")</f>
        <v>NA</v>
      </c>
      <c r="U35" s="572" t="str">
        <f>IF($A$35="NO",'T3.13 T3.5 Ft Bulkhead'!$H31,"NA")</f>
        <v>NA</v>
      </c>
      <c r="V35" s="572" t="str">
        <f>IF($A$35="NO",'T3.13 T3.5 Ft Bulkhead'!$H32,"NA")</f>
        <v>NA</v>
      </c>
      <c r="W35" s="572" t="str">
        <f>IF($A$35="NO",'T3.13 T3.5 Ft Bulkhead'!$H33,"NA")</f>
        <v>NA</v>
      </c>
      <c r="X35" s="572" t="str">
        <f>IF($A$35="NO",'T3.13 T3.5 Ft Bulkhead'!$H34,"NA")</f>
        <v>NA</v>
      </c>
      <c r="Y35" s="572" t="str">
        <f>IF($A$35="NO",'T3.13 T3.5 Ft Bulkhead'!$H35,"NA")</f>
        <v>NA</v>
      </c>
      <c r="Z35" s="572" t="str">
        <f>IF($A$35="NO",'T3.13 T3.5 Ft Bulkhead'!$H36,"NA")</f>
        <v>NA</v>
      </c>
      <c r="AA35" s="575" t="str">
        <f>IF($A$35="NO",'T3.13 T3.5 Ft Bulkhead'!$H37,"NA")</f>
        <v>NA</v>
      </c>
      <c r="AB35" s="572" t="str">
        <f>IF($A$35="NO",'T3.13 T3.5 Ft Bulkhead'!$H38,"NA")</f>
        <v>NA</v>
      </c>
      <c r="AC35" s="578" t="str">
        <f>IF('T3.13 T3.5 Ft Bulkhead'!$F$2="tubes + Composite",'T3.13 T3.5 Ft Bulkhead'!$E$5,"")</f>
        <v/>
      </c>
      <c r="AD35" s="578" t="str">
        <f>IF('T3.13 T3.5 Ft Bulkhead'!$F$2="tubes + composite",'T3.13 T3.5 Ft Bulkhead'!$E$6,"")</f>
        <v/>
      </c>
      <c r="AE35" s="577" t="str">
        <f>IF('T3.13 T3.5 Ft Bulkhead'!$F$2="tubes + composite",'T3.13 T3.5 Ft Bulkhead'!$E$18,"")</f>
        <v/>
      </c>
      <c r="AF35" s="578" t="str">
        <f>IF('T3.13 T3.5 Ft Bulkhead'!$F$2="tubes + composite",'T3.13 T3.5 Ft Bulkhead'!$E$19,"")</f>
        <v/>
      </c>
      <c r="AG35" s="579"/>
      <c r="AH35" s="579"/>
      <c r="AI35" s="579"/>
      <c r="AJ35" s="579"/>
      <c r="AK35" s="579"/>
      <c r="AL35" s="579"/>
      <c r="AM35" s="579"/>
      <c r="AN35" s="579"/>
      <c r="AO35" s="578" t="str">
        <f>IF('T3.13 T3.5 Ft Bulkhead'!$F$2="tubing only","",'T3.13 T3.5 Ft Bulkhead'!$F$5)</f>
        <v/>
      </c>
      <c r="AP35" s="577" t="str">
        <f>IF('T3.13 T3.5 Ft Bulkhead'!$F$2="tubing only","",'T3.13 T3.5 Ft Bulkhead'!$F$21)</f>
        <v/>
      </c>
      <c r="AQ35" s="578" t="str">
        <f>IF('T3.13 T3.5 Ft Bulkhead'!$F$2="tubing only","",'T3.13 T3.5 Ft Bulkhead'!$F$23)</f>
        <v/>
      </c>
      <c r="AR35" s="578" t="str">
        <f>IF('T3.13 T3.5 Ft Bulkhead'!$F$2="tubing only","",'T3.13 T3.5 Ft Bulkhead'!$F$24)</f>
        <v/>
      </c>
      <c r="AS35" s="586" t="str">
        <f>IF('T3.13 T3.5 Ft Bulkhead'!$F$2="tubing only","",'T3.13 T3.5 Ft Bulkhead'!$F$25)</f>
        <v/>
      </c>
      <c r="AT35" s="586"/>
      <c r="AU35" s="514"/>
    </row>
    <row r="36" spans="1:47" ht="12.75" customHeight="1">
      <c r="A36" s="1078" t="str">
        <f>IF('T3.14 T3.5 FBH Spt Structure'!F2="tubing only","N/A","NO")</f>
        <v>N/A</v>
      </c>
      <c r="B36" s="1079"/>
      <c r="C36" s="1078" t="str">
        <f t="shared" ref="C36:C47" si="1">IF(A36="N/A","N/A",IF(A36="YES","NO","YES"))</f>
        <v>N/A</v>
      </c>
      <c r="D36" s="1079"/>
      <c r="E36" s="1077" t="s">
        <v>101</v>
      </c>
      <c r="F36" s="1077"/>
      <c r="G36" s="1073" t="s">
        <v>102</v>
      </c>
      <c r="H36" s="1073"/>
      <c r="I36" s="1073"/>
      <c r="J36" s="1073"/>
      <c r="K36" s="1073"/>
      <c r="L36" s="1073"/>
      <c r="M36" s="1073"/>
      <c r="N36" s="1073"/>
      <c r="O36" s="1065" t="s">
        <v>358</v>
      </c>
      <c r="P36" s="1065"/>
      <c r="Q36" s="1065"/>
      <c r="R36" s="1065"/>
      <c r="S36" s="1066"/>
      <c r="T36" s="653" t="str">
        <f>IF($A$36="NO",'T3.14 T3.5 FBH Spt Structure'!$K$27,"NA")</f>
        <v>NA</v>
      </c>
      <c r="U36" s="572" t="str">
        <f>IF($A$36="NO",'T3.14 T3.5 FBH Spt Structure'!$K$28,"NA")</f>
        <v>NA</v>
      </c>
      <c r="V36" s="572" t="str">
        <f>IF($A$36="NO",'T3.14 T3.5 FBH Spt Structure'!$K$29,"NA")</f>
        <v>NA</v>
      </c>
      <c r="W36" s="572" t="str">
        <f>IF($A$36="NO",'T3.14 T3.5 FBH Spt Structure'!$K$30,"NA")</f>
        <v>NA</v>
      </c>
      <c r="X36" s="572" t="str">
        <f>IF($A$36="NO",'T3.14 T3.5 FBH Spt Structure'!$K$31,"NA")</f>
        <v>NA</v>
      </c>
      <c r="Y36" s="572" t="str">
        <f>IF($A$36="NO",'T3.14 T3.5 FBH Spt Structure'!$K$32,"NA")</f>
        <v>NA</v>
      </c>
      <c r="Z36" s="572" t="str">
        <f>IF($A$36="NO",'T3.14 T3.5 FBH Spt Structure'!$K$33,"NA")</f>
        <v>NA</v>
      </c>
      <c r="AA36" s="575" t="str">
        <f>IF($A$36="NO",'T3.14 T3.5 FBH Spt Structure'!$K$34,"NA")</f>
        <v>NA</v>
      </c>
      <c r="AB36" s="572" t="str">
        <f>IF($A$36="NO",'T3.14 T3.5 FBH Spt Structure'!$K$35,"NA")</f>
        <v>NA</v>
      </c>
      <c r="AC36" s="578" t="str">
        <f>IF('T3.14 T3.5 FBH Spt Structure'!$F$2="Tubes + composite",'T3.14 T3.5 FBH Spt Structure'!$E$5,"")</f>
        <v/>
      </c>
      <c r="AD36" s="578" t="str">
        <f>IF('T3.14 T3.5 FBH Spt Structure'!$F$2="Tubes + composite",'T3.14 T3.5 FBH Spt Structure'!$E$6,"")</f>
        <v/>
      </c>
      <c r="AE36" s="577" t="str">
        <f>IF('T3.14 T3.5 FBH Spt Structure'!$F$2="Tubes + composite",'T3.14 T3.5 FBH Spt Structure'!$E$15,"")</f>
        <v/>
      </c>
      <c r="AF36" s="578" t="str">
        <f>IF('T3.14 T3.5 FBH Spt Structure'!$F$2="Tubes + composite",'T3.14 T3.5 FBH Spt Structure'!$E$16,"")</f>
        <v/>
      </c>
      <c r="AG36" s="578" t="str">
        <f>IF('T3.14 T3.5 FBH Spt Structure'!$F$2="Tubes + composite",IF('T3.14 T3.5 FBH Spt Structure'!$F$14&gt;0,'T3.14 T3.5 FBH Spt Structure'!$F$5,""),"")</f>
        <v/>
      </c>
      <c r="AH36" s="578" t="str">
        <f>IF('T3.14 T3.5 FBH Spt Structure'!$F$2="Tubes + composite",IF('T3.14 T3.5 FBH Spt Structure'!$F$14&gt;0,'T3.14 T3.5 FBH Spt Structure'!$F$6,""),"")</f>
        <v/>
      </c>
      <c r="AI36" s="577" t="str">
        <f>IF('T3.14 T3.5 FBH Spt Structure'!$F$2="Tubes + composite",IF('T3.14 T3.5 FBH Spt Structure'!$F$14&gt;0,'T3.14 T3.5 FBH Spt Structure'!$F$15,""),"")</f>
        <v/>
      </c>
      <c r="AJ36" s="578" t="str">
        <f>IF('T3.14 T3.5 FBH Spt Structure'!$F$2="Tubes + composite",IF('T3.14 T3.5 FBH Spt Structure'!$F$14&gt;0,'T3.14 T3.5 FBH Spt Structure'!$F$16,""),"")</f>
        <v/>
      </c>
      <c r="AK36" s="578" t="str">
        <f>IF('T3.14 T3.5 FBH Spt Structure'!$F$2="Tubes + composite",IF('T3.14 T3.5 FBH Spt Structure'!$G$14&gt;0,'T3.14 T3.5 FBH Spt Structure'!$G$5,""),"")</f>
        <v/>
      </c>
      <c r="AL36" s="578" t="str">
        <f>IF('T3.14 T3.5 FBH Spt Structure'!$F$2="Tubes + composite",IF('T3.14 T3.5 FBH Spt Structure'!$G$14&gt;0,'T3.14 T3.5 FBH Spt Structure'!$G$6,""),"")</f>
        <v/>
      </c>
      <c r="AM36" s="577" t="str">
        <f>IF('T3.14 T3.5 FBH Spt Structure'!$F$2="Tubes + composite",IF('T3.14 T3.5 FBH Spt Structure'!$G$14&gt;0,'T3.14 T3.5 FBH Spt Structure'!$G$15,""),"")</f>
        <v/>
      </c>
      <c r="AN36" s="578" t="str">
        <f>IF('T3.14 T3.5 FBH Spt Structure'!$F$2="Tubes + composite",IF('T3.14 T3.5 FBH Spt Structure'!$G$14&gt;0,'T3.14 T3.5 FBH Spt Structure'!$G$16,""),"")</f>
        <v/>
      </c>
      <c r="AO36" s="578" t="str">
        <f>IF('T3.14 T3.5 FBH Spt Structure'!$F$2="tubing only","",'T3.14 T3.5 FBH Spt Structure'!$I$5)</f>
        <v/>
      </c>
      <c r="AP36" s="577" t="str">
        <f>IF('T3.14 T3.5 FBH Spt Structure'!$F$2="tubing only","",'T3.14 T3.5 FBH Spt Structure'!$I$18)</f>
        <v/>
      </c>
      <c r="AQ36" s="578" t="str">
        <f>IF('T3.14 T3.5 FBH Spt Structure'!$F$2="tubing only","",'T3.14 T3.5 FBH Spt Structure'!$I$20)</f>
        <v/>
      </c>
      <c r="AR36" s="578" t="str">
        <f>IF('T3.14 T3.5 FBH Spt Structure'!$F$2="tubing only","",'T3.14 T3.5 FBH Spt Structure'!$I$21)</f>
        <v/>
      </c>
      <c r="AS36" s="586" t="str">
        <f>IF('T3.14 T3.5 FBH Spt Structure'!$F$2="tubing only","",'T3.14 T3.5 FBH Spt Structure'!$I$22)</f>
        <v/>
      </c>
      <c r="AT36" s="586"/>
      <c r="AU36" s="514"/>
    </row>
    <row r="37" spans="1:47" ht="12.75" customHeight="1">
      <c r="A37" s="1078" t="str">
        <f>IF('T3.15 T3.5 SIS'!F2="tubing only","N/A","NO")</f>
        <v>N/A</v>
      </c>
      <c r="B37" s="1079"/>
      <c r="C37" s="1078" t="str">
        <f t="shared" si="1"/>
        <v>N/A</v>
      </c>
      <c r="D37" s="1079"/>
      <c r="E37" s="1077" t="s">
        <v>103</v>
      </c>
      <c r="F37" s="1077"/>
      <c r="G37" s="1073" t="s">
        <v>104</v>
      </c>
      <c r="H37" s="1073"/>
      <c r="I37" s="1073"/>
      <c r="J37" s="1073"/>
      <c r="K37" s="1073"/>
      <c r="L37" s="1073"/>
      <c r="M37" s="1073"/>
      <c r="N37" s="1073"/>
      <c r="O37" s="1065" t="s">
        <v>358</v>
      </c>
      <c r="P37" s="1065"/>
      <c r="Q37" s="1065"/>
      <c r="R37" s="1065"/>
      <c r="S37" s="1066"/>
      <c r="T37" s="1071" t="str">
        <f>IF($A$37="NO",'T3.15 T3.5 SIS'!$L$27,"NA")</f>
        <v>NA</v>
      </c>
      <c r="U37" s="1067" t="str">
        <f>IF($A$37="NO",'T3.15 T3.5 SIS'!$L$28,"NA")</f>
        <v>NA</v>
      </c>
      <c r="V37" s="1067" t="str">
        <f>IF($A$37="NO",'T3.15 T3.5 SIS'!$L$29,"NA")</f>
        <v>NA</v>
      </c>
      <c r="W37" s="1067" t="str">
        <f>IF($A$37="NO",'T3.15 T3.5 SIS'!$L$30,"NA")</f>
        <v>NA</v>
      </c>
      <c r="X37" s="1067" t="str">
        <f>IF($A$37="NO",'T3.15 T3.5 SIS'!$L$31,"NA")</f>
        <v>NA</v>
      </c>
      <c r="Y37" s="1067" t="str">
        <f>IF($A$37="NO",'T3.15 T3.5 SIS'!$L$32,"NA")</f>
        <v>NA</v>
      </c>
      <c r="Z37" s="1067" t="str">
        <f>IF($A$37="NO",'T3.15 T3.5 SIS'!$L$33,"NA")</f>
        <v>NA</v>
      </c>
      <c r="AA37" s="1069" t="str">
        <f>IF($A$37="NO",'T3.15 T3.5 SIS'!$L$34,"NA")</f>
        <v>NA</v>
      </c>
      <c r="AB37" s="1067" t="str">
        <f>IF($A$37="NO",'T3.15 T3.5 SIS'!$L$35,"NA")</f>
        <v>NA</v>
      </c>
      <c r="AC37" s="1063" t="str">
        <f>IF('T3.15 T3.5 SIS'!$F$2="tubes + composite",'T3.15 T3.5 SIS'!$E$5,"")</f>
        <v/>
      </c>
      <c r="AD37" s="1063" t="str">
        <f>IF('T3.15 T3.5 SIS'!$F$2="tubes + composite",'T3.15 T3.5 SIS'!$E$6,"")</f>
        <v/>
      </c>
      <c r="AE37" s="1061" t="str">
        <f>IF('T3.15 T3.5 SIS'!$F$2="tubes + composite",'T3.15 T3.5 SIS'!$E$15,"")</f>
        <v/>
      </c>
      <c r="AF37" s="1063" t="str">
        <f>IF('T3.15 T3.5 SIS'!$F$2="tubes + composite",'T3.15 T3.5 SIS'!$E$16,"")</f>
        <v/>
      </c>
      <c r="AG37" s="1063" t="str">
        <f>IF('T3.15 T3.5 SIS'!$F$2="tubes + composite",IF('T3.15 T3.5 SIS'!$F$14&gt;0,'T3.15 T3.5 SIS'!$F$5,""),"")</f>
        <v/>
      </c>
      <c r="AH37" s="1063" t="str">
        <f>IF('T3.15 T3.5 SIS'!$F$2="tubes + composite",IF('T3.15 T3.5 SIS'!$F$14&gt;0,'T3.15 T3.5 SIS'!$F$6,""),"")</f>
        <v/>
      </c>
      <c r="AI37" s="1061" t="str">
        <f>IF('T3.15 T3.5 SIS'!$F$2="tubes + composite",IF('T3.15 T3.5 SIS'!$F$14&gt;0,'T3.15 T3.5 SIS'!$F$15,""),"")</f>
        <v/>
      </c>
      <c r="AJ37" s="1063" t="str">
        <f>IF('T3.15 T3.5 SIS'!$F$2="tubes + composite",IF('T3.15 T3.5 SIS'!$F$14&gt;0,'T3.15 T3.5 SIS'!$F$16,""),"")</f>
        <v/>
      </c>
      <c r="AK37" s="1063" t="str">
        <f>IF('T3.15 T3.5 SIS'!$F$2="tubes + composite",IF('T3.15 T3.5 SIS'!$G$14&gt;0,'T3.15 T3.5 SIS'!$G$5,""),"")</f>
        <v/>
      </c>
      <c r="AL37" s="1063" t="str">
        <f>IF('T3.15 T3.5 SIS'!$F$2="tubes + composite",IF('T3.15 T3.5 SIS'!$G$14&gt;0,'T3.15 T3.5 SIS'!$G$6,""),"")</f>
        <v/>
      </c>
      <c r="AM37" s="1061" t="str">
        <f>IF('T3.15 T3.5 SIS'!$F$2="tubes + composite",IF('T3.15 T3.5 SIS'!$G$14&gt;0,'T3.15 T3.5 SIS'!$G$15,""),"")</f>
        <v/>
      </c>
      <c r="AN37" s="1063" t="str">
        <f>IF('T3.15 T3.5 SIS'!$F$2="tubes + composite",IF('T3.15 T3.5 SIS'!$G$14&gt;0,'T3.15 T3.5 SIS'!$G$16,""),"")</f>
        <v/>
      </c>
      <c r="AO37" s="578" t="str">
        <f>IF('T3.15 T3.5 SIS'!$F$2="Tubing only","",'T3.15 T3.5 SIS'!$I$5)</f>
        <v/>
      </c>
      <c r="AP37" s="577" t="str">
        <f>IF('T3.15 T3.5 SIS'!$F$2="Tubing only","",'T3.15 T3.5 SIS'!$I$18)</f>
        <v/>
      </c>
      <c r="AQ37" s="578" t="str">
        <f>IF('T3.15 T3.5 SIS'!$F$2="Tubing only","",'T3.15 T3.5 SIS'!$I$20)</f>
        <v/>
      </c>
      <c r="AR37" s="578" t="str">
        <f>IF('T3.15 T3.5 SIS'!$F$2="Tubing only","",'T3.15 T3.5 SIS'!$I$21)</f>
        <v/>
      </c>
      <c r="AS37" s="586" t="str">
        <f>IF('T3.15 T3.5 SIS'!$F$2="Tubing only","",'T3.15 T3.5 SIS'!$I$22)</f>
        <v/>
      </c>
      <c r="AT37" s="586"/>
      <c r="AU37" s="514"/>
    </row>
    <row r="38" spans="1:47" ht="12.75" customHeight="1">
      <c r="A38" s="1078" t="str">
        <f>IF('T3.15 T3.5 SIS'!F2="tubing only","N/A","NO")</f>
        <v>N/A</v>
      </c>
      <c r="B38" s="1079"/>
      <c r="C38" s="1078" t="str">
        <f>IF(A38="N/A","N/A",IF(A38="YES","NO","YES"))</f>
        <v>N/A</v>
      </c>
      <c r="D38" s="1079"/>
      <c r="E38" s="1077" t="s">
        <v>103</v>
      </c>
      <c r="F38" s="1077"/>
      <c r="G38" s="1073" t="s">
        <v>105</v>
      </c>
      <c r="H38" s="1073"/>
      <c r="I38" s="1073"/>
      <c r="J38" s="1073"/>
      <c r="K38" s="1073"/>
      <c r="L38" s="1073"/>
      <c r="M38" s="1073"/>
      <c r="N38" s="1073"/>
      <c r="O38" s="1065" t="s">
        <v>358</v>
      </c>
      <c r="P38" s="1065"/>
      <c r="Q38" s="1065"/>
      <c r="R38" s="1065"/>
      <c r="S38" s="1066"/>
      <c r="T38" s="1072"/>
      <c r="U38" s="1068"/>
      <c r="V38" s="1068"/>
      <c r="W38" s="1068"/>
      <c r="X38" s="1068"/>
      <c r="Y38" s="1068"/>
      <c r="Z38" s="1068"/>
      <c r="AA38" s="1070"/>
      <c r="AB38" s="1068"/>
      <c r="AC38" s="1064"/>
      <c r="AD38" s="1064"/>
      <c r="AE38" s="1062"/>
      <c r="AF38" s="1064"/>
      <c r="AG38" s="1064"/>
      <c r="AH38" s="1064"/>
      <c r="AI38" s="1062"/>
      <c r="AJ38" s="1064"/>
      <c r="AK38" s="1064"/>
      <c r="AL38" s="1064"/>
      <c r="AM38" s="1062"/>
      <c r="AN38" s="1064"/>
      <c r="AO38" s="578" t="str">
        <f>IF('T3.15 T3.5 SIS'!$F$2="Tubing only","",'T3.15 T3.5 SIS'!$J$5)</f>
        <v/>
      </c>
      <c r="AP38" s="577" t="str">
        <f>IF('T3.15 T3.5 SIS'!$F$2="Tubing only","",'T3.15 T3.5 SIS'!$J$18)</f>
        <v/>
      </c>
      <c r="AQ38" s="578" t="str">
        <f>IF('T3.15 T3.5 SIS'!$F$2="Tubing only","",'T3.15 T3.5 SIS'!$J$20)</f>
        <v/>
      </c>
      <c r="AR38" s="578" t="str">
        <f>IF('T3.15 T3.5 SIS'!$F$2="Tubing only","",'T3.15 T3.5 SIS'!$J$21)</f>
        <v/>
      </c>
      <c r="AS38" s="586" t="str">
        <f>IF('T3.15 T3.5 SIS'!$F$2="Tubing only","",'T3.15 T3.5 SIS'!$J$22)</f>
        <v/>
      </c>
      <c r="AT38" s="586"/>
      <c r="AU38" s="514"/>
    </row>
    <row r="39" spans="1:47" ht="12.75" customHeight="1">
      <c r="A39" s="1078" t="str">
        <f>IF('T3.10.5 T3.5 MHoop Brace Spt'!F2="tubing only","N/A","NO")</f>
        <v>N/A</v>
      </c>
      <c r="B39" s="1079"/>
      <c r="C39" s="1078" t="str">
        <f t="shared" si="1"/>
        <v>N/A</v>
      </c>
      <c r="D39" s="1079"/>
      <c r="E39" s="1077" t="s">
        <v>106</v>
      </c>
      <c r="F39" s="1077"/>
      <c r="G39" s="1073" t="s">
        <v>107</v>
      </c>
      <c r="H39" s="1073"/>
      <c r="I39" s="1073"/>
      <c r="J39" s="1073"/>
      <c r="K39" s="1073"/>
      <c r="L39" s="1073"/>
      <c r="M39" s="1073"/>
      <c r="N39" s="1073"/>
      <c r="O39" s="1065" t="s">
        <v>358</v>
      </c>
      <c r="P39" s="1065"/>
      <c r="Q39" s="1065"/>
      <c r="R39" s="1065"/>
      <c r="S39" s="1066"/>
      <c r="T39" s="653" t="str">
        <f>IF(A39="NO",'T3.10.5 T3.5 MHoop Brace Spt'!$H$27,"NA")</f>
        <v>NA</v>
      </c>
      <c r="U39" s="572" t="str">
        <f>IF(A39="NO",'T3.10.5 T3.5 MHoop Brace Spt'!$H$28,"NA")</f>
        <v>NA</v>
      </c>
      <c r="V39" s="572" t="str">
        <f>IF(A39="NO",'T3.10.5 T3.5 MHoop Brace Spt'!$H$29,"NA")</f>
        <v>NA</v>
      </c>
      <c r="W39" s="572" t="str">
        <f>IF(A39="NO",'T3.10.5 T3.5 MHoop Brace Spt'!$H$30,"NA")</f>
        <v>NA</v>
      </c>
      <c r="X39" s="572" t="str">
        <f>IF(A39="NO",'T3.10.5 T3.5 MHoop Brace Spt'!$H$31,"NA")</f>
        <v>NA</v>
      </c>
      <c r="Y39" s="572" t="str">
        <f>IF(A39="NO",'T3.10.5 T3.5 MHoop Brace Spt'!$H$32,"NA")</f>
        <v>NA</v>
      </c>
      <c r="Z39" s="572" t="str">
        <f>IF(A39="NO",'T3.10.5 T3.5 MHoop Brace Spt'!$H$33,"NA")</f>
        <v>NA</v>
      </c>
      <c r="AA39" s="575" t="str">
        <f>IF(A39="NO",'T3.10.5 T3.5 MHoop Brace Spt'!$H$34,"NA")</f>
        <v>NA</v>
      </c>
      <c r="AB39" s="572" t="str">
        <f>IF(A39="NO",'T3.10.5 T3.5 MHoop Brace Spt'!$H$35,"NA")</f>
        <v>NA</v>
      </c>
      <c r="AC39" s="578" t="str">
        <f>IF(A39="N/A","",IF('T3.10.5 T3.5 MHoop Brace Spt'!$F$2="tubes + composite",'T3.10.5 T3.5 MHoop Brace Spt'!E5,""))</f>
        <v/>
      </c>
      <c r="AD39" s="578" t="str">
        <f>IF(A39="N/A","",IF('T3.10.5 T3.5 MHoop Brace Spt'!$F$2="tubes + composite",'T3.10.5 T3.5 MHoop Brace Spt'!$E$6,""))</f>
        <v/>
      </c>
      <c r="AE39" s="577" t="str">
        <f>IF(A39="N/A","",IF('T3.10.5 T3.5 MHoop Brace Spt'!$F$2="tubes + composite",'T3.10.5 T3.5 MHoop Brace Spt'!$E$15,""))</f>
        <v/>
      </c>
      <c r="AF39" s="578" t="str">
        <f>IF(A39="N/A","",IF('T3.10.5 T3.5 MHoop Brace Spt'!$F$2="tubes + composite",'T3.10.5 T3.5 MHoop Brace Spt'!$E$16,""))</f>
        <v/>
      </c>
      <c r="AG39" s="579"/>
      <c r="AH39" s="579"/>
      <c r="AI39" s="579"/>
      <c r="AJ39" s="579"/>
      <c r="AK39" s="579"/>
      <c r="AL39" s="579"/>
      <c r="AM39" s="579"/>
      <c r="AN39" s="579"/>
      <c r="AO39" s="578" t="str">
        <f>IF('T3.10.5 T3.5 MHoop Brace Spt'!F2="tubing only","",'T3.10.5 T3.5 MHoop Brace Spt'!F5)</f>
        <v/>
      </c>
      <c r="AP39" s="577" t="str">
        <f>IF('T3.10.5 T3.5 MHoop Brace Spt'!F2="tubing only","",'T3.10.5 T3.5 MHoop Brace Spt'!F18)</f>
        <v/>
      </c>
      <c r="AQ39" s="578" t="str">
        <f>IF('T3.10.5 T3.5 MHoop Brace Spt'!$F$2="tubing only","",'T3.10.5 T3.5 MHoop Brace Spt'!$F$20)</f>
        <v/>
      </c>
      <c r="AR39" s="578" t="str">
        <f>IF('T3.10.5 T3.5 MHoop Brace Spt'!$F$2="tubing only","",'T3.10.5 T3.5 MHoop Brace Spt'!$F$21)</f>
        <v/>
      </c>
      <c r="AS39" s="586" t="str">
        <f>IF('T3.10.5 T3.5 MHoop Brace Spt'!F2="tubing only","",'T3.10.5 T3.5 MHoop Brace Spt'!F22)</f>
        <v/>
      </c>
      <c r="AT39" s="586"/>
      <c r="AU39" s="514"/>
    </row>
    <row r="40" spans="1:47" ht="12.75" customHeight="1">
      <c r="A40" s="1078" t="str">
        <f>IF(A37="no","NO","N/A")</f>
        <v>N/A</v>
      </c>
      <c r="B40" s="1079"/>
      <c r="C40" s="1078" t="str">
        <f t="shared" si="1"/>
        <v>N/A</v>
      </c>
      <c r="D40" s="1079"/>
      <c r="E40" s="1148" t="s">
        <v>108</v>
      </c>
      <c r="F40" s="1077"/>
      <c r="G40" s="1073" t="s">
        <v>109</v>
      </c>
      <c r="H40" s="1073"/>
      <c r="I40" s="1073"/>
      <c r="J40" s="1073"/>
      <c r="K40" s="1073"/>
      <c r="L40" s="1073"/>
      <c r="M40" s="1073"/>
      <c r="N40" s="1073"/>
      <c r="O40" s="1065" t="s">
        <v>358</v>
      </c>
      <c r="P40" s="1065"/>
      <c r="Q40" s="1065"/>
      <c r="R40" s="1065"/>
      <c r="S40" s="1066"/>
      <c r="T40" s="653" t="str">
        <f>IF(A40="N/A","NA",IF(OR('T3.16 MH &amp; MH B''ing Attachments'!C8="FAIL",'T3.16 MH &amp; MH B''ing Attachments'!E8="FAIL",'T3.16 MH &amp; MH B''ing Attachments'!I8="FAIL",'T3.16 MH &amp; MH B''ing Attachments'!K8="FAIL"),"FA","PA"))</f>
        <v>NA</v>
      </c>
      <c r="U40" s="590"/>
      <c r="V40" s="590"/>
      <c r="W40" s="590"/>
      <c r="X40" s="590"/>
      <c r="Y40" s="590"/>
      <c r="Z40" s="590"/>
      <c r="AA40" s="590"/>
      <c r="AB40" s="590"/>
      <c r="AC40" s="590"/>
      <c r="AD40" s="590"/>
      <c r="AE40" s="590"/>
      <c r="AF40" s="590"/>
      <c r="AG40" s="590"/>
      <c r="AH40" s="590"/>
      <c r="AI40" s="590"/>
      <c r="AJ40" s="590"/>
      <c r="AK40" s="590"/>
      <c r="AL40" s="590"/>
      <c r="AM40" s="590"/>
      <c r="AN40" s="590"/>
      <c r="AO40" s="590"/>
      <c r="AP40" s="590"/>
      <c r="AQ40" s="590"/>
      <c r="AR40" s="590"/>
      <c r="AS40" s="590"/>
      <c r="AT40" s="579"/>
      <c r="AU40" s="514"/>
    </row>
    <row r="41" spans="1:47" ht="12.75" customHeight="1">
      <c r="A41" s="1078" t="str">
        <f>IF(A36="no","NO","N/A")</f>
        <v>N/A</v>
      </c>
      <c r="B41" s="1079"/>
      <c r="C41" s="1078" t="str">
        <f t="shared" si="1"/>
        <v>N/A</v>
      </c>
      <c r="D41" s="1079"/>
      <c r="E41" s="1077" t="s">
        <v>108</v>
      </c>
      <c r="F41" s="1077"/>
      <c r="G41" s="1073" t="s">
        <v>110</v>
      </c>
      <c r="H41" s="1073"/>
      <c r="I41" s="1073"/>
      <c r="J41" s="1073"/>
      <c r="K41" s="1073"/>
      <c r="L41" s="1073"/>
      <c r="M41" s="1073"/>
      <c r="N41" s="1073"/>
      <c r="O41" s="1065" t="s">
        <v>358</v>
      </c>
      <c r="P41" s="1065"/>
      <c r="Q41" s="1065"/>
      <c r="R41" s="1065"/>
      <c r="S41" s="1066"/>
      <c r="T41" s="653" t="str">
        <f>IF('T3.16 FH &amp; FH B''ing Attachments'!C3=0,"CH",IF(A41="N/A","NA",IF(OR('T3.16 FH &amp; FH B''ing Attachments'!C8="FAIL",'T3.16 FH &amp; FH B''ing Attachments'!E8="FAIL",'T3.16 FH &amp; FH B''ing Attachments'!I8="FAIL",'T3.16 FH &amp; FH B''ing Attachments'!K8="FAIL"),"FA","PA")))</f>
        <v>NA</v>
      </c>
      <c r="U41" s="579"/>
      <c r="V41" s="579"/>
      <c r="W41" s="579"/>
      <c r="X41" s="579"/>
      <c r="Y41" s="579"/>
      <c r="Z41" s="579"/>
      <c r="AA41" s="579"/>
      <c r="AB41" s="579"/>
      <c r="AC41" s="579"/>
      <c r="AD41" s="579"/>
      <c r="AE41" s="579"/>
      <c r="AF41" s="579"/>
      <c r="AG41" s="579"/>
      <c r="AH41" s="579"/>
      <c r="AI41" s="579"/>
      <c r="AJ41" s="579"/>
      <c r="AK41" s="579"/>
      <c r="AL41" s="579"/>
      <c r="AM41" s="579"/>
      <c r="AN41" s="579"/>
      <c r="AO41" s="579"/>
      <c r="AP41" s="579"/>
      <c r="AQ41" s="579"/>
      <c r="AR41" s="579"/>
      <c r="AS41" s="579"/>
      <c r="AT41" s="579"/>
      <c r="AU41" s="514"/>
    </row>
    <row r="42" spans="1:47" ht="12.75" customHeight="1">
      <c r="A42" s="1078" t="s">
        <v>111</v>
      </c>
      <c r="B42" s="1079"/>
      <c r="C42" s="1078" t="s">
        <v>111</v>
      </c>
      <c r="D42" s="1079"/>
      <c r="E42" s="1077" t="s">
        <v>112</v>
      </c>
      <c r="F42" s="1077"/>
      <c r="G42" s="1073" t="s">
        <v>113</v>
      </c>
      <c r="H42" s="1073"/>
      <c r="I42" s="1073"/>
      <c r="J42" s="1073"/>
      <c r="K42" s="1073"/>
      <c r="L42" s="1073"/>
      <c r="M42" s="1073"/>
      <c r="N42" s="1073"/>
      <c r="O42" s="1065" t="s">
        <v>176</v>
      </c>
      <c r="P42" s="1065"/>
      <c r="Q42" s="1065"/>
      <c r="R42" s="1065"/>
      <c r="S42" s="1066"/>
      <c r="T42" s="653" t="str">
        <f>IF('T1.2.1 T4.6 T4.8 Firewall'!D3="PASS","PA","FA")</f>
        <v>FA</v>
      </c>
      <c r="U42" s="579"/>
      <c r="V42" s="579"/>
      <c r="W42" s="579"/>
      <c r="X42" s="579"/>
      <c r="Y42" s="579"/>
      <c r="Z42" s="579"/>
      <c r="AA42" s="579"/>
      <c r="AB42" s="579"/>
      <c r="AC42" s="579"/>
      <c r="AD42" s="579"/>
      <c r="AE42" s="579"/>
      <c r="AF42" s="579"/>
      <c r="AG42" s="579"/>
      <c r="AH42" s="579"/>
      <c r="AI42" s="579"/>
      <c r="AJ42" s="579"/>
      <c r="AK42" s="579"/>
      <c r="AL42" s="579"/>
      <c r="AM42" s="579"/>
      <c r="AN42" s="579"/>
      <c r="AO42" s="579"/>
      <c r="AP42" s="579"/>
      <c r="AQ42" s="579"/>
      <c r="AR42" s="579"/>
      <c r="AS42" s="579"/>
      <c r="AT42" s="579"/>
      <c r="AU42" s="514"/>
    </row>
    <row r="43" spans="1:47" ht="12.75" customHeight="1">
      <c r="A43" s="1146" t="s">
        <v>111</v>
      </c>
      <c r="B43" s="1147"/>
      <c r="C43" s="1146" t="s">
        <v>111</v>
      </c>
      <c r="D43" s="1147"/>
      <c r="E43" s="1077" t="s">
        <v>114</v>
      </c>
      <c r="F43" s="1077"/>
      <c r="G43" s="1073" t="s">
        <v>115</v>
      </c>
      <c r="H43" s="1073"/>
      <c r="I43" s="1073"/>
      <c r="J43" s="1073"/>
      <c r="K43" s="1073"/>
      <c r="L43" s="1073"/>
      <c r="M43" s="1073"/>
      <c r="N43" s="1073"/>
      <c r="O43" s="1065" t="s">
        <v>358</v>
      </c>
      <c r="P43" s="1065"/>
      <c r="Q43" s="1065"/>
      <c r="R43" s="1065"/>
      <c r="S43" s="1066"/>
      <c r="T43" s="653" t="str">
        <f>IF(A43="N/A","NA",IF('T3.16.6&amp;3.17.5 Prim.Struc.Att.'!C24="FAIL","FA","PA"))</f>
        <v>NA</v>
      </c>
      <c r="U43" s="579"/>
      <c r="V43" s="579"/>
      <c r="W43" s="579"/>
      <c r="X43" s="579"/>
      <c r="Y43" s="579"/>
      <c r="Z43" s="579"/>
      <c r="AA43" s="579"/>
      <c r="AB43" s="579"/>
      <c r="AC43" s="579"/>
      <c r="AD43" s="579"/>
      <c r="AE43" s="579"/>
      <c r="AF43" s="579"/>
      <c r="AG43" s="579"/>
      <c r="AH43" s="579"/>
      <c r="AI43" s="579"/>
      <c r="AJ43" s="579"/>
      <c r="AK43" s="579"/>
      <c r="AL43" s="579"/>
      <c r="AM43" s="579"/>
      <c r="AN43" s="579"/>
      <c r="AO43" s="579"/>
      <c r="AP43" s="579"/>
      <c r="AQ43" s="579"/>
      <c r="AR43" s="579"/>
      <c r="AS43" s="579"/>
      <c r="AT43" s="579"/>
      <c r="AU43" s="514"/>
    </row>
    <row r="44" spans="1:47" ht="12.75" customHeight="1">
      <c r="A44" s="1078" t="str">
        <f>IF(OR('T4.5 Harness Attachments'!Q34="YES",'T4.5 Harness Attachments'!Q35="YES",'T4.5 Harness Attachments'!Q36="YES",'T4.5 Harness Attachments'!Q37="YES"),"NO","N/A")</f>
        <v>N/A</v>
      </c>
      <c r="B44" s="1079"/>
      <c r="C44" s="1078" t="str">
        <f t="shared" si="1"/>
        <v>N/A</v>
      </c>
      <c r="D44" s="1079"/>
      <c r="E44" s="1077" t="s">
        <v>93</v>
      </c>
      <c r="F44" s="1077"/>
      <c r="G44" s="1073" t="s">
        <v>116</v>
      </c>
      <c r="H44" s="1073"/>
      <c r="I44" s="1073"/>
      <c r="J44" s="1073"/>
      <c r="K44" s="1073"/>
      <c r="L44" s="1073"/>
      <c r="M44" s="1073"/>
      <c r="N44" s="1073"/>
      <c r="O44" s="1065" t="s">
        <v>1021</v>
      </c>
      <c r="P44" s="1065"/>
      <c r="Q44" s="1065"/>
      <c r="R44" s="1065"/>
      <c r="S44" s="1066"/>
      <c r="T44" s="653" t="str">
        <f>IF(A44="N/A","NA",IF('T4.5 Harness Attachments'!A35="PASS","PA","FA"))</f>
        <v>NA</v>
      </c>
      <c r="U44" s="579"/>
      <c r="V44" s="579"/>
      <c r="W44" s="579"/>
      <c r="X44" s="579"/>
      <c r="Y44" s="579"/>
      <c r="Z44" s="579"/>
      <c r="AA44" s="579"/>
      <c r="AB44" s="579"/>
      <c r="AC44" s="579"/>
      <c r="AD44" s="579"/>
      <c r="AE44" s="579"/>
      <c r="AF44" s="579"/>
      <c r="AG44" s="579"/>
      <c r="AH44" s="579"/>
      <c r="AI44" s="579"/>
      <c r="AJ44" s="579"/>
      <c r="AK44" s="579"/>
      <c r="AL44" s="579"/>
      <c r="AM44" s="579"/>
      <c r="AN44" s="579"/>
      <c r="AO44" s="579"/>
      <c r="AP44" s="579"/>
      <c r="AQ44" s="579"/>
      <c r="AR44" s="579"/>
      <c r="AS44" s="579"/>
      <c r="AT44" s="579"/>
      <c r="AU44" s="514"/>
    </row>
    <row r="45" spans="1:47" ht="12.75" customHeight="1">
      <c r="A45" s="1144" t="s">
        <v>111</v>
      </c>
      <c r="B45" s="1145"/>
      <c r="C45" s="1144" t="s">
        <v>111</v>
      </c>
      <c r="D45" s="1145"/>
      <c r="E45" s="1101" t="s">
        <v>117</v>
      </c>
      <c r="F45" s="1111"/>
      <c r="G45" s="1083" t="str">
        <f>IF($D$17="electric vehicle","Accumulator Container","N/A")</f>
        <v>Accumulator Container</v>
      </c>
      <c r="H45" s="1083"/>
      <c r="I45" s="1083"/>
      <c r="J45" s="1083"/>
      <c r="K45" s="1083"/>
      <c r="L45" s="1083"/>
      <c r="M45" s="1083"/>
      <c r="N45" s="1083"/>
      <c r="O45" s="1080" t="s">
        <v>175</v>
      </c>
      <c r="P45" s="1081"/>
      <c r="Q45" s="1081"/>
      <c r="R45" s="1081"/>
      <c r="S45" s="1082"/>
      <c r="T45" s="657"/>
      <c r="U45" s="579"/>
      <c r="V45" s="579"/>
      <c r="W45" s="579"/>
      <c r="X45" s="579"/>
      <c r="Y45" s="579"/>
      <c r="Z45" s="579"/>
      <c r="AA45" s="579"/>
      <c r="AB45" s="579"/>
      <c r="AC45" s="579"/>
      <c r="AD45" s="579"/>
      <c r="AE45" s="579"/>
      <c r="AF45" s="579"/>
      <c r="AG45" s="579"/>
      <c r="AH45" s="579"/>
      <c r="AI45" s="579"/>
      <c r="AJ45" s="579"/>
      <c r="AK45" s="579"/>
      <c r="AL45" s="579"/>
      <c r="AM45" s="579"/>
      <c r="AN45" s="579"/>
      <c r="AO45" s="579"/>
      <c r="AP45" s="579"/>
      <c r="AQ45" s="579"/>
      <c r="AR45" s="579"/>
      <c r="AS45" s="579"/>
      <c r="AT45" s="572" t="str">
        <f>IF('EV5 Accumulator Container'!$E$55="No Compliance shown","FA","PA")</f>
        <v>PA</v>
      </c>
      <c r="AU45" s="514"/>
    </row>
    <row r="46" spans="1:47" ht="12.75" customHeight="1">
      <c r="A46" s="1144" t="s">
        <v>111</v>
      </c>
      <c r="B46" s="1145"/>
      <c r="C46" s="1144" t="s">
        <v>111</v>
      </c>
      <c r="D46" s="1145"/>
      <c r="E46" s="1101" t="s">
        <v>117</v>
      </c>
      <c r="F46" s="1111"/>
      <c r="G46" s="1083" t="str">
        <f>IF($D$17="electric vehicle","Accumulator Stack Construction","N/A")</f>
        <v>Accumulator Stack Construction</v>
      </c>
      <c r="H46" s="1083"/>
      <c r="I46" s="1083"/>
      <c r="J46" s="1083"/>
      <c r="K46" s="1083"/>
      <c r="L46" s="1083"/>
      <c r="M46" s="1083"/>
      <c r="N46" s="1083"/>
      <c r="O46" s="1080" t="s">
        <v>1022</v>
      </c>
      <c r="P46" s="1081"/>
      <c r="Q46" s="1081"/>
      <c r="R46" s="1081"/>
      <c r="S46" s="1082"/>
      <c r="T46" s="657"/>
      <c r="U46" s="579"/>
      <c r="V46" s="579"/>
      <c r="W46" s="579"/>
      <c r="X46" s="579"/>
      <c r="Y46" s="579"/>
      <c r="Z46" s="579"/>
      <c r="AA46" s="579"/>
      <c r="AB46" s="579"/>
      <c r="AC46" s="579"/>
      <c r="AD46" s="579"/>
      <c r="AE46" s="579"/>
      <c r="AF46" s="579"/>
      <c r="AG46" s="579"/>
      <c r="AH46" s="579"/>
      <c r="AI46" s="579"/>
      <c r="AJ46" s="579"/>
      <c r="AK46" s="579"/>
      <c r="AL46" s="579"/>
      <c r="AM46" s="579"/>
      <c r="AN46" s="579"/>
      <c r="AO46" s="579"/>
      <c r="AP46" s="579"/>
      <c r="AQ46" s="579"/>
      <c r="AR46" s="579"/>
      <c r="AS46" s="579"/>
      <c r="AT46" s="572" t="str">
        <f>IF('EV5 Acc. Stack Construction'!$E$22="No Compliance shown","FA","PA")</f>
        <v>PA</v>
      </c>
      <c r="AU46" s="514"/>
    </row>
    <row r="47" spans="1:47" ht="12.75" customHeight="1">
      <c r="A47" s="1094" t="s">
        <v>111</v>
      </c>
      <c r="B47" s="1095"/>
      <c r="C47" s="1094" t="str">
        <f t="shared" si="1"/>
        <v>N/A</v>
      </c>
      <c r="D47" s="1095"/>
      <c r="E47" s="1077" t="s">
        <v>118</v>
      </c>
      <c r="F47" s="1077"/>
      <c r="G47" s="1083" t="str">
        <f>IF(D17="electric vehicle","Accumulator Attachment","N/A")</f>
        <v>Accumulator Attachment</v>
      </c>
      <c r="H47" s="1083"/>
      <c r="I47" s="1083"/>
      <c r="J47" s="1083"/>
      <c r="K47" s="1083"/>
      <c r="L47" s="1083"/>
      <c r="M47" s="1083"/>
      <c r="N47" s="1083"/>
      <c r="O47" s="1065" t="s">
        <v>175</v>
      </c>
      <c r="P47" s="1065"/>
      <c r="Q47" s="1065"/>
      <c r="R47" s="1065"/>
      <c r="S47" s="1066"/>
      <c r="T47" s="657"/>
      <c r="U47" s="579"/>
      <c r="V47" s="579"/>
      <c r="W47" s="579"/>
      <c r="X47" s="579"/>
      <c r="Y47" s="579"/>
      <c r="Z47" s="579"/>
      <c r="AA47" s="579"/>
      <c r="AB47" s="579"/>
      <c r="AC47" s="579"/>
      <c r="AD47" s="579"/>
      <c r="AE47" s="579"/>
      <c r="AF47" s="579"/>
      <c r="AG47" s="579"/>
      <c r="AH47" s="579"/>
      <c r="AI47" s="579"/>
      <c r="AJ47" s="579"/>
      <c r="AK47" s="579"/>
      <c r="AL47" s="579"/>
      <c r="AM47" s="579"/>
      <c r="AN47" s="579"/>
      <c r="AO47" s="579"/>
      <c r="AP47" s="579"/>
      <c r="AQ47" s="579"/>
      <c r="AR47" s="579"/>
      <c r="AS47" s="579"/>
      <c r="AT47" s="572" t="str">
        <f>IF('EV5.5. Acc. Attachments'!$C$10="PASS","PA","FA")</f>
        <v>FA</v>
      </c>
      <c r="AU47" s="514"/>
    </row>
    <row r="48" spans="1:47" ht="12.75" customHeight="1">
      <c r="A48" s="1094" t="str">
        <f>IF(NOT('EV5.5.1&amp;2 EV4.4 ACPS TSPS sidex'!F2="tubing only"),"NO",IF('EV5.5.1&amp;2 EV4.4 ACPS TSPS sidex'!G17="YES","YES","NO"))</f>
        <v>YES</v>
      </c>
      <c r="B48" s="1095"/>
      <c r="C48" s="1094" t="str">
        <f>IF(A48="N/A","N/A",IF(A48="YES","NO","YES"))</f>
        <v>NO</v>
      </c>
      <c r="D48" s="1095"/>
      <c r="E48" s="1077" t="s">
        <v>119</v>
      </c>
      <c r="F48" s="1077"/>
      <c r="G48" s="1083" t="str">
        <f>IF(D17="electric vehicle","Accumulator&amp;Tractive System Protection Side","N/A")</f>
        <v>Accumulator&amp;Tractive System Protection Side</v>
      </c>
      <c r="H48" s="1083"/>
      <c r="I48" s="1083"/>
      <c r="J48" s="1083"/>
      <c r="K48" s="1083"/>
      <c r="L48" s="1083"/>
      <c r="M48" s="1083"/>
      <c r="N48" s="1083"/>
      <c r="O48" s="1065" t="s">
        <v>1014</v>
      </c>
      <c r="P48" s="1065"/>
      <c r="Q48" s="1065"/>
      <c r="R48" s="1065"/>
      <c r="S48" s="1066"/>
      <c r="T48" s="653" t="str">
        <f>IF($A$48="NO",'EV5.5.1&amp;2 EV4.4 ACPS TSPS Side'!$L$27,"NA")</f>
        <v>NA</v>
      </c>
      <c r="U48" s="572" t="str">
        <f>IF($A$48="NO",'EV5.5.1&amp;2 EV4.4 ACPS TSPS Side'!$L$28,"NA")</f>
        <v>NA</v>
      </c>
      <c r="V48" s="572" t="str">
        <f>IF($A$48="NO",'EV5.5.1&amp;2 EV4.4 ACPS TSPS Side'!$L$29,"NA")</f>
        <v>NA</v>
      </c>
      <c r="W48" s="572" t="str">
        <f>IF($A$48="NO",'EV5.5.1&amp;2 EV4.4 ACPS TSPS Side'!$L$30,"NA")</f>
        <v>NA</v>
      </c>
      <c r="X48" s="572" t="str">
        <f>IF($A$48="NO",'EV5.5.1&amp;2 EV4.4 ACPS TSPS Side'!$L$31,"NA")</f>
        <v>NA</v>
      </c>
      <c r="Y48" s="572" t="str">
        <f>IF($A$48="NO",'EV5.5.1&amp;2 EV4.4 ACPS TSPS Side'!$L$32,"NA")</f>
        <v>NA</v>
      </c>
      <c r="Z48" s="572" t="str">
        <f>IF($A$48="NO",'EV5.5.1&amp;2 EV4.4 ACPS TSPS Side'!$L$33,"NA")</f>
        <v>NA</v>
      </c>
      <c r="AA48" s="575" t="str">
        <f>IF($A$48="NO",'EV5.5.1&amp;2 EV4.4 ACPS TSPS sidex'!$L$34,"NA")</f>
        <v>NA</v>
      </c>
      <c r="AB48" s="572" t="str">
        <f>IF($A$48="NO",'EV5.5.1&amp;2 EV4.4 ACPS TSPS Side'!$L$35,"NA")</f>
        <v>NA</v>
      </c>
      <c r="AC48" s="578" t="str">
        <f>IF('EV5.5.1&amp;2 EV4.4 ACPS TSPS Side'!$F$2="tubing only",'EV5.5.1&amp;2 EV4.4 ACPS TSPS Side'!$E$5,"")</f>
        <v>Steel</v>
      </c>
      <c r="AD48" s="578" t="str">
        <f>IF('EV5.5.1&amp;2 EV4.4 ACPS TSPS Side'!$F$2="tubing only",'EV5.5.1&amp;2 EV4.4 ACPS TSPS Side'!$E$6,"")</f>
        <v>Round</v>
      </c>
      <c r="AE48" s="577">
        <f>IF('EV5.5.1&amp;2 EV4.4 ACPS TSPS Side'!$F$2="tubing only",'EV5.5.1&amp;2 EV4.4 ACPS TSPS Side'!$E$15,"")</f>
        <v>25.4</v>
      </c>
      <c r="AF48" s="578">
        <f>IF('EV5.5.1&amp;2 EV4.4 ACPS TSPS Side'!$F$2="tubing only",'EV5.5.1&amp;2 EV4.4 ACPS TSPS Side'!$E$16,"")</f>
        <v>1.6</v>
      </c>
      <c r="AG48" s="578" t="str">
        <f>IF('EV5.5.1&amp;2 EV4.4 ACPS TSPS sidex'!$F$2="tubing only",IF('EV5.5.1&amp;2 EV4.4 ACPS TSPS sidex'!$F$14&gt;0,'EV5.5.1&amp;2 EV4.4 ACPS TSPS sidex'!$F$5,""),"")</f>
        <v/>
      </c>
      <c r="AH48" s="578" t="str">
        <f>IF('EV5.5.1&amp;2 EV4.4 ACPS TSPS sidex'!$F$2="tubing only",IF('EV5.5.1&amp;2 EV4.4 ACPS TSPS sidex'!$F$14&gt;0,'EV5.5.1&amp;2 EV4.4 ACPS TSPS sidex'!$F$6,""),"")</f>
        <v/>
      </c>
      <c r="AI48" s="577" t="str">
        <f>IF('EV5.5.1&amp;2 EV4.4 ACPS TSPS sidex'!$F$2="tubing only",IF('EV5.5.1&amp;2 EV4.4 ACPS TSPS sidex'!$F$14&gt;0,'EV5.5.1&amp;2 EV4.4 ACPS TSPS sidex'!$F$15,""),"")</f>
        <v/>
      </c>
      <c r="AJ48" s="578" t="str">
        <f>IF('EV5.5.1&amp;2 EV4.4 ACPS TSPS sidex'!$F$2="tubing only",IF('EV5.5.1&amp;2 EV4.4 ACPS TSPS sidex'!$F$14&gt;0,'EV5.5.1&amp;2 EV4.4 ACPS TSPS sidex'!$F$16,""),"")</f>
        <v/>
      </c>
      <c r="AK48" s="578" t="str">
        <f>IF('EV5.5.1&amp;2 EV4.4 ACPS TSPS sidex'!$F$2="tubing only",IF('EV5.5.1&amp;2 EV4.4 ACPS TSPS sidex'!$G$14&gt;0,'EV5.5.1&amp;2 EV4.4 ACPS TSPS sidex'!$G$5,""),"")</f>
        <v/>
      </c>
      <c r="AL48" s="578" t="str">
        <f>IF('EV5.5.1&amp;2 EV4.4 ACPS TSPS sidex'!$F$2="tubing only",IF('EV5.5.1&amp;2 EV4.4 ACPS TSPS sidex'!$G$14&gt;0,'EV5.5.1&amp;2 EV4.4 ACPS TSPS sidex'!$G$6,""),"")</f>
        <v/>
      </c>
      <c r="AM48" s="577" t="str">
        <f>IF('EV5.5.1&amp;2 EV4.4 ACPS TSPS sidex'!$F$2="tubing only",IF('EV5.5.1&amp;2 EV4.4 ACPS TSPS sidex'!$G$14&gt;0,'EV5.5.1&amp;2 EV4.4 ACPS TSPS sidex'!$G$15,""),"")</f>
        <v/>
      </c>
      <c r="AN48" s="578" t="str">
        <f>IF('EV5.5.1&amp;2 EV4.4 ACPS TSPS sidex'!$F$2="tubing only",IF('EV5.5.1&amp;2 EV4.4 ACPS TSPS sidex'!$G$14&gt;0,'EV5.5.1&amp;2 EV4.4 ACPS TSPS sidex'!$G$16,""),"")</f>
        <v/>
      </c>
      <c r="AO48" s="578" t="str">
        <f>IF('EV5.5.1&amp;2 EV4.4 ACPS TSPS sidex'!$F$2="Tubing only","",'EV5.5.1&amp;2 EV4.4 ACPS TSPS sidex'!$I$5)</f>
        <v/>
      </c>
      <c r="AP48" s="577" t="str">
        <f>IF('EV5.5.1&amp;2 EV4.4 ACPS TSPS sidex'!$F$2="Tubing only","",'EV5.5.1&amp;2 EV4.4 ACPS TSPS sidex'!$I$18)</f>
        <v/>
      </c>
      <c r="AQ48" s="578" t="str">
        <f>IF('EV5.5.1&amp;2 EV4.4 ACPS TSPS sidex'!$F$2="Tubing only","",'EV5.5.1&amp;2 EV4.4 ACPS TSPS sidex'!$I$20)</f>
        <v/>
      </c>
      <c r="AR48" s="578" t="str">
        <f>IF('EV5.5.1&amp;2 EV4.4 ACPS TSPS sidex'!$F$2="Tubing only","",'EV5.5.1&amp;2 EV4.4 ACPS TSPS sidex'!$I$21)</f>
        <v/>
      </c>
      <c r="AS48" s="586" t="str">
        <f>IF('EV5.5.1&amp;2 EV4.4 ACPS TSPS sidex'!$F$2="Tubing only","",'EV5.5.1&amp;2 EV4.4 ACPS TSPS sidex'!$I$22)</f>
        <v/>
      </c>
      <c r="AT48" s="586"/>
      <c r="AU48" s="514"/>
    </row>
    <row r="49" spans="1:47" ht="12.75" customHeight="1">
      <c r="A49" s="1094" t="str">
        <f>IF(NOT('EV5.5.1&amp;2 EV4.4 ACPS TSPS rearx'!F2="tubing only"),"NO",IF('EV5.5.1&amp;2 EV4.4 ACPS TSPS sidex'!G17="YES","YES","NO"))</f>
        <v>YES</v>
      </c>
      <c r="B49" s="1095"/>
      <c r="C49" s="1094" t="str">
        <f>IF(A49="N/A","N/A",IF(A49="YES","NO","YES"))</f>
        <v>NO</v>
      </c>
      <c r="D49" s="1095"/>
      <c r="E49" s="1077" t="s">
        <v>119</v>
      </c>
      <c r="F49" s="1077"/>
      <c r="G49" s="1083" t="str">
        <f>IF(D17="electric vehicle","Accumulator&amp;Tractive System Protection Rear","N/A")</f>
        <v>Accumulator&amp;Tractive System Protection Rear</v>
      </c>
      <c r="H49" s="1083"/>
      <c r="I49" s="1083"/>
      <c r="J49" s="1083"/>
      <c r="K49" s="1083"/>
      <c r="L49" s="1083"/>
      <c r="M49" s="1083"/>
      <c r="N49" s="1083"/>
      <c r="O49" s="1065" t="s">
        <v>1014</v>
      </c>
      <c r="P49" s="1065"/>
      <c r="Q49" s="1065"/>
      <c r="R49" s="1065"/>
      <c r="S49" s="1066"/>
      <c r="T49" s="653" t="str">
        <f>IF($A$48="NO",'EV5.5.1&amp;2 EV4.4 ACPS TSPS Rear'!$L$27,"NA")</f>
        <v>NA</v>
      </c>
      <c r="U49" s="572" t="str">
        <f>IF($A$48="NO",'EV5.5.1&amp;2 EV4.4 ACPS TSPS Rear'!$L$28,"NA")</f>
        <v>NA</v>
      </c>
      <c r="V49" s="572" t="str">
        <f>IF($A$48="NO",'EV5.5.1&amp;2 EV4.4 ACPS TSPS Rear'!$L$29,"NA")</f>
        <v>NA</v>
      </c>
      <c r="W49" s="572" t="str">
        <f>IF($A$48="NO",'EV5.5.1&amp;2 EV4.4 ACPS TSPS Rear'!$L$30,"NA")</f>
        <v>NA</v>
      </c>
      <c r="X49" s="572" t="str">
        <f>IF($A$48="NO",'EV5.5.1&amp;2 EV4.4 ACPS TSPS Rear'!$L$31,"NA")</f>
        <v>NA</v>
      </c>
      <c r="Y49" s="572" t="str">
        <f>IF($A$48="NO",'EV5.5.1&amp;2 EV4.4 ACPS TSPS Rear'!$L$32,"NA")</f>
        <v>NA</v>
      </c>
      <c r="Z49" s="572" t="str">
        <f>IF($A$48="NO",'EV5.5.1&amp;2 EV4.4 ACPS TSPS Rear'!$L$33,"NA")</f>
        <v>NA</v>
      </c>
      <c r="AA49" s="575" t="str">
        <f>IF($A$48="NO",'EV5.5.1&amp;2 EV4.4 ACPS TSPS Rear'!$L$34,"NA")</f>
        <v>NA</v>
      </c>
      <c r="AB49" s="572" t="str">
        <f>IF($A$48="NO",'EV5.5.1&amp;2 EV4.4 ACPS TSPS Rear'!$L$35,"NA")</f>
        <v>NA</v>
      </c>
      <c r="AC49" s="578" t="str">
        <f>IF('EV5.5.1&amp;2 EV4.4 ACPS TSPS Rear'!$F$2="tubing only",'EV5.5.1&amp;2 EV4.4 ACPS TSPS Rear'!$E$5,"")</f>
        <v>Steel</v>
      </c>
      <c r="AD49" s="578" t="str">
        <f>IF('EV5.5.1&amp;2 EV4.4 ACPS TSPS Rear'!$F$2="tubing only",'EV5.5.1&amp;2 EV4.4 ACPS TSPS Rear'!$E$6,"")</f>
        <v>Round</v>
      </c>
      <c r="AE49" s="577">
        <f>IF('EV5.5.1&amp;2 EV4.4 ACPS TSPS Rear'!$F$2="tubing only",'EV5.5.1&amp;2 EV4.4 ACPS TSPS Rear'!$E$15,"")</f>
        <v>25.4</v>
      </c>
      <c r="AF49" s="578">
        <f>IF('EV5.5.1&amp;2 EV4.4 ACPS TSPS Rear'!$F$2="tubing only",'EV5.5.1&amp;2 EV4.4 ACPS TSPS Rear'!$E$16,"")</f>
        <v>1.6</v>
      </c>
      <c r="AG49" s="578" t="str">
        <f>IF('EV5.5.1&amp;2 EV4.4 ACPS TSPS sidex'!$F$2="tubing only",IF('EV5.5.1&amp;2 EV4.4 ACPS TSPS sidex'!$F$14&gt;0,'EV5.5.1&amp;2 EV4.4 ACPS TSPS sidex'!$F$5,""),"")</f>
        <v/>
      </c>
      <c r="AH49" s="578" t="str">
        <f>IF('EV5.5.1&amp;2 EV4.4 ACPS TSPS sidex'!$F$2="tubing only",IF('EV5.5.1&amp;2 EV4.4 ACPS TSPS sidex'!$F$14&gt;0,'EV5.5.1&amp;2 EV4.4 ACPS TSPS sidex'!$F$6,""),"")</f>
        <v/>
      </c>
      <c r="AI49" s="577" t="str">
        <f>IF('EV5.5.1&amp;2 EV4.4 ACPS TSPS sidex'!$F$2="tubing only",IF('EV5.5.1&amp;2 EV4.4 ACPS TSPS sidex'!$F$14&gt;0,'EV5.5.1&amp;2 EV4.4 ACPS TSPS sidex'!$F$15,""),"")</f>
        <v/>
      </c>
      <c r="AJ49" s="578" t="str">
        <f>IF('EV5.5.1&amp;2 EV4.4 ACPS TSPS sidex'!$F$2="tubing only",IF('EV5.5.1&amp;2 EV4.4 ACPS TSPS sidex'!$F$14&gt;0,'EV5.5.1&amp;2 EV4.4 ACPS TSPS sidex'!$F$16,""),"")</f>
        <v/>
      </c>
      <c r="AK49" s="578" t="str">
        <f>IF('EV5.5.1&amp;2 EV4.4 ACPS TSPS sidex'!$F$2="tubing only",IF('EV5.5.1&amp;2 EV4.4 ACPS TSPS sidex'!$G$14&gt;0,'EV5.5.1&amp;2 EV4.4 ACPS TSPS sidex'!$G$5,""),"")</f>
        <v/>
      </c>
      <c r="AL49" s="578" t="str">
        <f>IF('EV5.5.1&amp;2 EV4.4 ACPS TSPS sidex'!$F$2="tubing only",IF('EV5.5.1&amp;2 EV4.4 ACPS TSPS sidex'!$G$14&gt;0,'EV5.5.1&amp;2 EV4.4 ACPS TSPS sidex'!$G$6,""),"")</f>
        <v/>
      </c>
      <c r="AM49" s="577" t="str">
        <f>IF('EV5.5.1&amp;2 EV4.4 ACPS TSPS sidex'!$F$2="tubing only",IF('EV5.5.1&amp;2 EV4.4 ACPS TSPS sidex'!$G$14&gt;0,'EV5.5.1&amp;2 EV4.4 ACPS TSPS sidex'!$G$15,""),"")</f>
        <v/>
      </c>
      <c r="AN49" s="578" t="str">
        <f>IF('EV5.5.1&amp;2 EV4.4 ACPS TSPS sidex'!$F$2="tubing only",IF('EV5.5.1&amp;2 EV4.4 ACPS TSPS sidex'!$G$14&gt;0,'EV5.5.1&amp;2 EV4.4 ACPS TSPS sidex'!$G$16,""),"")</f>
        <v/>
      </c>
      <c r="AO49" s="578" t="str">
        <f>IF('EV5.5.1&amp;2 EV4.4 ACPS TSPS sidex'!$F$2="Tubing only","",'EV5.5.1&amp;2 EV4.4 ACPS TSPS sidex'!$I$5)</f>
        <v/>
      </c>
      <c r="AP49" s="577" t="str">
        <f>IF('EV5.5.1&amp;2 EV4.4 ACPS TSPS sidex'!$F$2="Tubing only","",'EV5.5.1&amp;2 EV4.4 ACPS TSPS sidex'!$I$18)</f>
        <v/>
      </c>
      <c r="AQ49" s="578" t="str">
        <f>IF('EV5.5.1&amp;2 EV4.4 ACPS TSPS sidex'!$F$2="Tubing only","",'EV5.5.1&amp;2 EV4.4 ACPS TSPS sidex'!$I$20)</f>
        <v/>
      </c>
      <c r="AR49" s="578" t="str">
        <f>IF('EV5.5.1&amp;2 EV4.4 ACPS TSPS sidex'!$F$2="Tubing only","",'EV5.5.1&amp;2 EV4.4 ACPS TSPS sidex'!$I$21)</f>
        <v/>
      </c>
      <c r="AS49" s="586" t="str">
        <f>IF('EV5.5.1&amp;2 EV4.4 ACPS TSPS sidex'!$F$2="Tubing only","",'EV5.5.1&amp;2 EV4.4 ACPS TSPS sidex'!$I$22)</f>
        <v/>
      </c>
      <c r="AT49" s="586"/>
      <c r="AU49" s="514"/>
    </row>
    <row r="50" spans="1:47" ht="12.75" customHeight="1">
      <c r="A50" s="3" t="s">
        <v>120</v>
      </c>
      <c r="B50" s="514"/>
      <c r="C50" s="514"/>
      <c r="D50" s="514"/>
      <c r="E50" s="514"/>
      <c r="F50" s="514"/>
      <c r="G50" s="514"/>
      <c r="H50" s="514"/>
      <c r="I50" s="514"/>
      <c r="J50" s="514"/>
      <c r="K50" s="514"/>
      <c r="L50" s="514"/>
      <c r="M50" s="514"/>
      <c r="N50" s="514"/>
      <c r="O50" s="514"/>
      <c r="P50" s="514"/>
      <c r="Q50" s="514"/>
      <c r="R50" s="514"/>
      <c r="S50" s="514"/>
      <c r="T50" s="633"/>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c r="AS50" s="514"/>
      <c r="AT50" s="514"/>
      <c r="AU50" s="514"/>
    </row>
    <row r="51" spans="1:47">
      <c r="A51" s="218" t="str">
        <f t="shared" ref="A51:A56" si="2">IF(OR($T51="YES",$T51="N/A"),"P","F")</f>
        <v>F</v>
      </c>
      <c r="B51" s="1060" t="s">
        <v>121</v>
      </c>
      <c r="C51" s="1060"/>
      <c r="D51" s="1060"/>
      <c r="E51" s="1060"/>
      <c r="F51" s="1060"/>
      <c r="G51" s="1060"/>
      <c r="H51" s="1060"/>
      <c r="I51" s="1060"/>
      <c r="J51" s="1060"/>
      <c r="K51" s="1060"/>
      <c r="L51" s="1060"/>
      <c r="M51" s="1060"/>
      <c r="N51" s="1060"/>
      <c r="O51" s="1060"/>
      <c r="P51" s="1060"/>
      <c r="Q51" s="1060"/>
      <c r="R51" s="1060"/>
      <c r="S51" s="1060"/>
      <c r="T51" s="635" t="s">
        <v>122</v>
      </c>
      <c r="U51" s="636"/>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c r="AS51" s="514"/>
      <c r="AT51" s="514"/>
      <c r="AU51" s="514"/>
    </row>
    <row r="52" spans="1:47">
      <c r="A52" s="218" t="str">
        <f t="shared" si="2"/>
        <v>F</v>
      </c>
      <c r="B52" s="1060" t="s">
        <v>123</v>
      </c>
      <c r="C52" s="1060"/>
      <c r="D52" s="1060"/>
      <c r="E52" s="1060"/>
      <c r="F52" s="1060"/>
      <c r="G52" s="1060"/>
      <c r="H52" s="1060"/>
      <c r="I52" s="1060"/>
      <c r="J52" s="1060"/>
      <c r="K52" s="1060"/>
      <c r="L52" s="1060"/>
      <c r="M52" s="1060"/>
      <c r="N52" s="1060"/>
      <c r="O52" s="1060"/>
      <c r="P52" s="1060"/>
      <c r="Q52" s="1060"/>
      <c r="R52" s="1060"/>
      <c r="S52" s="1060"/>
      <c r="T52" s="635" t="s">
        <v>122</v>
      </c>
      <c r="U52" s="636"/>
      <c r="V52" s="514"/>
      <c r="W52" s="514"/>
      <c r="X52" s="514"/>
      <c r="Y52" s="514"/>
      <c r="Z52" s="514"/>
      <c r="AA52" s="514"/>
      <c r="AB52" s="514"/>
      <c r="AC52" s="514"/>
      <c r="AD52" s="514"/>
      <c r="AE52" s="514"/>
      <c r="AF52" s="514"/>
      <c r="AG52" s="514"/>
      <c r="AH52" s="514"/>
      <c r="AI52" s="514"/>
      <c r="AJ52" s="514"/>
      <c r="AK52" s="514"/>
      <c r="AL52" s="514"/>
      <c r="AM52" s="514"/>
      <c r="AN52" s="514"/>
      <c r="AO52" s="514"/>
      <c r="AP52" s="514"/>
      <c r="AQ52" s="514"/>
      <c r="AR52" s="514"/>
      <c r="AS52" s="514"/>
      <c r="AT52" s="514"/>
      <c r="AU52" s="514"/>
    </row>
    <row r="53" spans="1:47">
      <c r="A53" s="218" t="str">
        <f t="shared" si="2"/>
        <v>F</v>
      </c>
      <c r="B53" s="1060" t="s">
        <v>124</v>
      </c>
      <c r="C53" s="1060"/>
      <c r="D53" s="1060"/>
      <c r="E53" s="1060"/>
      <c r="F53" s="1060"/>
      <c r="G53" s="1060"/>
      <c r="H53" s="1060"/>
      <c r="I53" s="1060"/>
      <c r="J53" s="1060"/>
      <c r="K53" s="1060"/>
      <c r="L53" s="1060"/>
      <c r="M53" s="1060"/>
      <c r="N53" s="1060"/>
      <c r="O53" s="1060"/>
      <c r="P53" s="1060"/>
      <c r="Q53" s="1060"/>
      <c r="R53" s="1060"/>
      <c r="S53" s="1060"/>
      <c r="T53" s="635" t="s">
        <v>122</v>
      </c>
      <c r="U53" s="636"/>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c r="AS53" s="514"/>
      <c r="AT53" s="514"/>
      <c r="AU53" s="514"/>
    </row>
    <row r="54" spans="1:47">
      <c r="A54" s="218" t="str">
        <f t="shared" si="2"/>
        <v>F</v>
      </c>
      <c r="B54" s="1060" t="s">
        <v>125</v>
      </c>
      <c r="C54" s="1060"/>
      <c r="D54" s="1060"/>
      <c r="E54" s="1060"/>
      <c r="F54" s="1060"/>
      <c r="G54" s="1060"/>
      <c r="H54" s="1060"/>
      <c r="I54" s="1060"/>
      <c r="J54" s="1060"/>
      <c r="K54" s="1060"/>
      <c r="L54" s="1060"/>
      <c r="M54" s="1060"/>
      <c r="N54" s="1060"/>
      <c r="O54" s="1060"/>
      <c r="P54" s="1060"/>
      <c r="Q54" s="1060"/>
      <c r="R54" s="1060"/>
      <c r="S54" s="1060"/>
      <c r="T54" s="635" t="s">
        <v>122</v>
      </c>
      <c r="U54" s="636"/>
      <c r="V54" s="514"/>
      <c r="W54" s="514"/>
      <c r="X54" s="514"/>
      <c r="Y54" s="514"/>
      <c r="Z54" s="514"/>
      <c r="AA54" s="514"/>
      <c r="AB54" s="514"/>
      <c r="AC54" s="514"/>
      <c r="AD54" s="514"/>
      <c r="AE54" s="514"/>
      <c r="AF54" s="514"/>
      <c r="AG54" s="514"/>
      <c r="AH54" s="514"/>
      <c r="AI54" s="514"/>
      <c r="AJ54" s="514"/>
      <c r="AK54" s="514"/>
      <c r="AL54" s="514"/>
      <c r="AM54" s="514"/>
      <c r="AN54" s="514"/>
      <c r="AO54" s="514"/>
      <c r="AP54" s="514"/>
      <c r="AQ54" s="514"/>
      <c r="AR54" s="514"/>
      <c r="AS54" s="514"/>
      <c r="AT54" s="514"/>
      <c r="AU54" s="514"/>
    </row>
    <row r="55" spans="1:47">
      <c r="A55" s="218" t="str">
        <f t="shared" si="2"/>
        <v>F</v>
      </c>
      <c r="B55" s="1060" t="s">
        <v>126</v>
      </c>
      <c r="C55" s="1060"/>
      <c r="D55" s="1060"/>
      <c r="E55" s="1060"/>
      <c r="F55" s="1060"/>
      <c r="G55" s="1060"/>
      <c r="H55" s="1060"/>
      <c r="I55" s="1060"/>
      <c r="J55" s="1060"/>
      <c r="K55" s="1060"/>
      <c r="L55" s="1060"/>
      <c r="M55" s="1060"/>
      <c r="N55" s="1060"/>
      <c r="O55" s="1060"/>
      <c r="P55" s="1060"/>
      <c r="Q55" s="1060"/>
      <c r="R55" s="1060"/>
      <c r="S55" s="1060"/>
      <c r="T55" s="635" t="s">
        <v>122</v>
      </c>
      <c r="U55" s="636"/>
      <c r="V55" s="514"/>
      <c r="W55" s="514"/>
      <c r="X55" s="514"/>
      <c r="Y55" s="514"/>
      <c r="Z55" s="514"/>
      <c r="AA55" s="514"/>
      <c r="AB55" s="514"/>
      <c r="AC55" s="514"/>
      <c r="AD55" s="514"/>
      <c r="AE55" s="514"/>
      <c r="AF55" s="514"/>
      <c r="AG55" s="514"/>
      <c r="AH55" s="514"/>
      <c r="AI55" s="514"/>
      <c r="AJ55" s="514"/>
      <c r="AK55" s="514"/>
      <c r="AL55" s="514"/>
      <c r="AM55" s="514"/>
      <c r="AN55" s="514"/>
      <c r="AO55" s="514"/>
      <c r="AP55" s="514"/>
      <c r="AQ55" s="514"/>
      <c r="AR55" s="514"/>
      <c r="AS55" s="514"/>
      <c r="AT55" s="514"/>
      <c r="AU55" s="514"/>
    </row>
    <row r="56" spans="1:47">
      <c r="A56" s="218" t="str">
        <f t="shared" si="2"/>
        <v>F</v>
      </c>
      <c r="B56" s="1060" t="s">
        <v>127</v>
      </c>
      <c r="C56" s="1060"/>
      <c r="D56" s="1060"/>
      <c r="E56" s="1060"/>
      <c r="F56" s="1060"/>
      <c r="G56" s="1060"/>
      <c r="H56" s="1060"/>
      <c r="I56" s="1060"/>
      <c r="J56" s="1060"/>
      <c r="K56" s="1060"/>
      <c r="L56" s="1060"/>
      <c r="M56" s="1060"/>
      <c r="N56" s="1060"/>
      <c r="O56" s="1060"/>
      <c r="P56" s="1060"/>
      <c r="Q56" s="1060"/>
      <c r="R56" s="1060"/>
      <c r="S56" s="1060"/>
      <c r="T56" s="635" t="s">
        <v>122</v>
      </c>
      <c r="U56" s="636"/>
      <c r="V56" s="514"/>
      <c r="W56" s="514"/>
      <c r="X56" s="514"/>
      <c r="Y56" s="514"/>
      <c r="Z56" s="514"/>
      <c r="AA56" s="514"/>
      <c r="AB56" s="514"/>
      <c r="AC56" s="514"/>
      <c r="AD56" s="514"/>
      <c r="AE56" s="514"/>
      <c r="AF56" s="514"/>
      <c r="AG56" s="514"/>
      <c r="AH56" s="514"/>
      <c r="AI56" s="514"/>
      <c r="AJ56" s="514"/>
      <c r="AK56" s="514"/>
      <c r="AL56" s="514"/>
      <c r="AM56" s="514"/>
      <c r="AN56" s="514"/>
      <c r="AO56" s="514"/>
      <c r="AP56" s="514"/>
      <c r="AQ56" s="514"/>
      <c r="AR56" s="514"/>
      <c r="AS56" s="514"/>
      <c r="AT56" s="514"/>
      <c r="AU56" s="514"/>
    </row>
    <row r="57" spans="1:47">
      <c r="A57" s="514"/>
      <c r="B57" s="514"/>
      <c r="C57" s="514"/>
      <c r="D57" s="514"/>
      <c r="E57" s="514"/>
      <c r="F57" s="514"/>
      <c r="G57" s="514"/>
      <c r="H57" s="514"/>
      <c r="I57" s="514"/>
      <c r="J57" s="514"/>
      <c r="K57" s="514"/>
      <c r="L57" s="514"/>
      <c r="M57" s="514"/>
      <c r="N57" s="514"/>
      <c r="O57" s="514"/>
      <c r="P57" s="514"/>
      <c r="Q57" s="514"/>
      <c r="R57" s="514"/>
      <c r="S57" s="514"/>
      <c r="T57" s="634"/>
      <c r="U57" s="514"/>
      <c r="V57" s="514"/>
      <c r="W57" s="514"/>
      <c r="X57" s="514"/>
      <c r="Y57" s="514"/>
      <c r="Z57" s="514"/>
      <c r="AA57" s="514"/>
      <c r="AB57" s="514"/>
      <c r="AC57" s="514"/>
      <c r="AD57" s="514"/>
      <c r="AE57" s="514"/>
      <c r="AF57" s="514"/>
      <c r="AG57" s="514"/>
      <c r="AH57" s="514"/>
      <c r="AI57" s="514"/>
      <c r="AJ57" s="514"/>
      <c r="AK57" s="514"/>
      <c r="AL57" s="514"/>
      <c r="AM57" s="514"/>
      <c r="AN57" s="514"/>
      <c r="AO57" s="514"/>
      <c r="AP57" s="514"/>
      <c r="AQ57" s="514"/>
      <c r="AR57" s="514"/>
      <c r="AS57" s="514"/>
      <c r="AT57" s="514"/>
      <c r="AU57" s="514"/>
    </row>
    <row r="58" spans="1:47" ht="13.15">
      <c r="A58" s="1087" t="s">
        <v>128</v>
      </c>
      <c r="B58" s="1087"/>
      <c r="C58" s="1087"/>
      <c r="D58" s="1087"/>
      <c r="E58" s="1087"/>
      <c r="F58" s="1087"/>
      <c r="G58" s="1087"/>
      <c r="H58" s="1087"/>
      <c r="I58" s="1087"/>
      <c r="J58" s="1087"/>
      <c r="K58" s="1087"/>
      <c r="L58" s="1087"/>
      <c r="M58" s="1087"/>
      <c r="N58" s="1087"/>
      <c r="O58" s="1087"/>
      <c r="P58" s="1087"/>
      <c r="Q58" s="1087"/>
      <c r="R58" s="1087"/>
      <c r="S58" s="1087"/>
      <c r="T58" s="634"/>
      <c r="U58" s="514"/>
      <c r="V58" s="514"/>
      <c r="W58" s="514"/>
      <c r="X58" s="514"/>
      <c r="Y58" s="514"/>
      <c r="Z58" s="514"/>
      <c r="AA58" s="514"/>
      <c r="AB58" s="514"/>
      <c r="AC58" s="514"/>
      <c r="AD58" s="514"/>
      <c r="AE58" s="514"/>
      <c r="AF58" s="514"/>
      <c r="AG58" s="514"/>
      <c r="AH58" s="514"/>
      <c r="AI58" s="514"/>
      <c r="AJ58" s="514"/>
      <c r="AK58" s="514"/>
      <c r="AL58" s="514"/>
      <c r="AM58" s="514"/>
      <c r="AN58" s="514"/>
      <c r="AO58" s="514"/>
      <c r="AP58" s="514"/>
      <c r="AQ58" s="514"/>
      <c r="AR58" s="514"/>
      <c r="AS58" s="514"/>
      <c r="AT58" s="514"/>
      <c r="AU58" s="514"/>
    </row>
    <row r="59" spans="1:47" customFormat="1" ht="13.5">
      <c r="A59" s="219" t="s">
        <v>129</v>
      </c>
      <c r="C59" s="162" t="s">
        <v>130</v>
      </c>
      <c r="J59" s="744" t="s">
        <v>131</v>
      </c>
      <c r="T59" s="745"/>
    </row>
    <row r="60" spans="1:47" customFormat="1" ht="13.5">
      <c r="A60" s="219"/>
      <c r="C60" s="162"/>
      <c r="J60" s="744"/>
      <c r="T60" s="745"/>
    </row>
    <row r="61" spans="1:47" ht="13.15">
      <c r="A61" s="1093" t="s">
        <v>132</v>
      </c>
      <c r="B61" s="1093"/>
      <c r="C61" s="1093"/>
      <c r="D61" s="1093"/>
      <c r="E61" s="1093"/>
      <c r="F61" s="1093"/>
      <c r="G61" s="1093"/>
      <c r="H61" s="1093"/>
      <c r="I61" s="1093"/>
      <c r="J61" s="1093"/>
      <c r="K61" s="1093"/>
      <c r="L61" s="1093"/>
      <c r="M61" s="1093"/>
      <c r="N61" s="1093"/>
      <c r="O61" s="1093"/>
      <c r="P61" s="1093"/>
      <c r="Q61" s="1093"/>
      <c r="R61" s="1093"/>
      <c r="S61" s="1093"/>
      <c r="T61" s="593"/>
      <c r="U61" s="514"/>
      <c r="V61" s="514"/>
      <c r="W61" s="514"/>
      <c r="X61" s="514"/>
      <c r="Y61" s="514"/>
      <c r="Z61" s="514"/>
      <c r="AA61" s="514"/>
      <c r="AB61" s="514"/>
      <c r="AC61" s="514"/>
      <c r="AD61" s="514"/>
      <c r="AE61" s="514"/>
      <c r="AF61" s="514"/>
      <c r="AG61" s="514"/>
      <c r="AH61" s="514"/>
      <c r="AI61" s="514"/>
      <c r="AJ61" s="514"/>
      <c r="AK61" s="514"/>
      <c r="AL61" s="514"/>
      <c r="AM61" s="514"/>
      <c r="AN61" s="514"/>
      <c r="AO61" s="514"/>
      <c r="AP61" s="514"/>
      <c r="AQ61" s="514"/>
      <c r="AR61" s="514"/>
      <c r="AS61" s="514"/>
      <c r="AT61" s="514"/>
      <c r="AU61" s="514"/>
    </row>
    <row r="62" spans="1:47" ht="13.15">
      <c r="A62" s="1093"/>
      <c r="B62" s="1093"/>
      <c r="C62" s="1093"/>
      <c r="D62" s="1093"/>
      <c r="E62" s="1093"/>
      <c r="F62" s="1093"/>
      <c r="G62" s="1093"/>
      <c r="H62" s="1093"/>
      <c r="I62" s="1093"/>
      <c r="J62" s="1093"/>
      <c r="K62" s="1093"/>
      <c r="L62" s="1093"/>
      <c r="M62" s="1093"/>
      <c r="N62" s="1093"/>
      <c r="O62" s="1093"/>
      <c r="P62" s="1093"/>
      <c r="Q62" s="1093"/>
      <c r="R62" s="1093"/>
      <c r="S62" s="1093"/>
      <c r="T62" s="593"/>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14"/>
      <c r="AS62" s="514"/>
      <c r="AT62" s="514"/>
      <c r="AU62" s="514"/>
    </row>
    <row r="63" spans="1:47">
      <c r="A63" s="514"/>
      <c r="B63" s="514"/>
      <c r="C63" s="514"/>
      <c r="D63" s="514"/>
      <c r="E63" s="514"/>
      <c r="F63" s="514"/>
      <c r="G63" s="514"/>
      <c r="H63" s="514"/>
      <c r="I63" s="514"/>
      <c r="J63" s="514"/>
      <c r="K63" s="514"/>
      <c r="L63" s="514"/>
      <c r="M63" s="514"/>
      <c r="N63" s="514"/>
      <c r="O63" s="514"/>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c r="AM63" s="514"/>
      <c r="AN63" s="514"/>
      <c r="AO63" s="514"/>
      <c r="AP63" s="514"/>
      <c r="AQ63" s="514"/>
      <c r="AR63" s="514"/>
      <c r="AS63" s="514"/>
      <c r="AT63" s="514"/>
      <c r="AU63" s="514"/>
    </row>
    <row r="64" spans="1:47">
      <c r="A64" s="514"/>
      <c r="B64" s="514"/>
      <c r="C64" s="514"/>
      <c r="D64" s="514"/>
      <c r="E64" s="514"/>
      <c r="F64" s="514"/>
      <c r="G64" s="514"/>
      <c r="H64" s="514"/>
      <c r="I64" s="514"/>
      <c r="J64" s="514"/>
      <c r="K64" s="514"/>
      <c r="L64" s="514"/>
      <c r="M64" s="514"/>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14"/>
      <c r="AS64" s="514"/>
      <c r="AT64" s="514"/>
      <c r="AU64" s="514"/>
    </row>
    <row r="65" spans="1:47">
      <c r="A65" s="514"/>
      <c r="B65" s="514"/>
      <c r="C65" s="514"/>
      <c r="D65" s="514"/>
      <c r="E65" s="514"/>
      <c r="F65" s="514"/>
      <c r="G65" s="514"/>
      <c r="H65" s="514"/>
      <c r="I65" s="514"/>
      <c r="J65" s="514"/>
      <c r="K65" s="514"/>
      <c r="L65" s="514"/>
      <c r="M65" s="514"/>
      <c r="N65" s="514"/>
      <c r="O65" s="514"/>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c r="AM65" s="514"/>
      <c r="AN65" s="514"/>
      <c r="AO65" s="514"/>
      <c r="AP65" s="514"/>
      <c r="AQ65" s="514"/>
      <c r="AR65" s="514"/>
      <c r="AS65" s="514"/>
      <c r="AT65" s="514"/>
      <c r="AU65" s="514"/>
    </row>
    <row r="66" spans="1:47">
      <c r="A66" s="514"/>
      <c r="B66" s="514"/>
      <c r="C66" s="514"/>
      <c r="D66" s="514"/>
      <c r="E66" s="514"/>
      <c r="F66" s="514"/>
      <c r="G66" s="514"/>
      <c r="H66" s="514"/>
      <c r="I66" s="514"/>
      <c r="J66" s="514"/>
      <c r="K66" s="514"/>
      <c r="L66" s="514"/>
      <c r="M66" s="514"/>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14"/>
      <c r="AS66" s="514"/>
      <c r="AT66" s="514"/>
      <c r="AU66" s="514"/>
    </row>
    <row r="67" spans="1:47">
      <c r="A67" s="514"/>
      <c r="B67" s="514"/>
      <c r="C67" s="514"/>
      <c r="D67" s="514"/>
      <c r="E67" s="514"/>
      <c r="F67" s="514"/>
      <c r="G67" s="514"/>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row>
    <row r="68" spans="1:47">
      <c r="A68" s="514"/>
      <c r="B68" s="514"/>
      <c r="C68" s="514"/>
      <c r="D68" s="514"/>
      <c r="E68" s="514"/>
      <c r="F68" s="514"/>
      <c r="G68" s="514"/>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row>
    <row r="69" spans="1:47">
      <c r="A69" s="514"/>
      <c r="B69" s="514"/>
      <c r="C69" s="514"/>
      <c r="D69" s="514"/>
      <c r="E69" s="514"/>
      <c r="F69" s="514"/>
      <c r="G69" s="514"/>
      <c r="H69" s="514"/>
      <c r="I69" s="514"/>
      <c r="J69" s="514"/>
      <c r="K69" s="514"/>
      <c r="L69" s="514"/>
      <c r="M69" s="514"/>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row>
    <row r="70" spans="1:47">
      <c r="A70" s="514"/>
      <c r="B70" s="514"/>
      <c r="C70" s="514"/>
      <c r="D70" s="514"/>
      <c r="E70" s="514"/>
      <c r="F70" s="514"/>
      <c r="G70" s="514"/>
      <c r="H70" s="514"/>
      <c r="I70" s="514"/>
      <c r="J70" s="514"/>
      <c r="K70" s="514"/>
      <c r="L70" s="514"/>
      <c r="M70" s="514"/>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row>
    <row r="71" spans="1:47">
      <c r="A71" s="514"/>
      <c r="B71" s="514"/>
      <c r="C71" s="514"/>
      <c r="D71" s="514"/>
      <c r="E71" s="514"/>
      <c r="F71" s="514"/>
      <c r="G71" s="514"/>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row>
    <row r="72" spans="1:47">
      <c r="A72" s="514"/>
      <c r="B72" s="514"/>
      <c r="C72" s="514"/>
      <c r="D72" s="514"/>
      <c r="E72" s="514"/>
      <c r="F72" s="514"/>
      <c r="G72" s="514"/>
      <c r="H72" s="514"/>
      <c r="I72" s="514"/>
      <c r="J72" s="514"/>
      <c r="K72" s="514"/>
      <c r="L72" s="514"/>
      <c r="M72" s="514"/>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row>
    <row r="73" spans="1:47">
      <c r="A73" s="514"/>
      <c r="B73" s="514"/>
      <c r="C73" s="514"/>
      <c r="D73" s="514"/>
      <c r="E73" s="514"/>
      <c r="F73" s="514"/>
      <c r="G73" s="514"/>
      <c r="H73" s="514"/>
      <c r="I73" s="514"/>
      <c r="J73" s="514"/>
      <c r="K73" s="514"/>
      <c r="L73" s="514"/>
      <c r="M73" s="514"/>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row>
  </sheetData>
  <sheetProtection algorithmName="SHA-512" hashValue="YbKWd3/lRKL5IuzCw3fSaYhDXoaUGqi6rWyb6tLFWL2yag6P2xy1nWRyx4Zi1vRM7yyA/QnQdI2ZdjrqlDQmoA==" saltValue="dDmXh3FEvlRVV9ZlEDycpQ==" spinCount="100000" sheet="1" scenarios="1" insertHyperlinks="0"/>
  <protectedRanges>
    <protectedRange sqref="D14:J17 O14 N15:S16 O24:S49" name="Range1"/>
    <protectedRange sqref="T51:T56" name="CoverSheetDropdown"/>
  </protectedRanges>
  <mergeCells count="207">
    <mergeCell ref="G42:N42"/>
    <mergeCell ref="O42:S42"/>
    <mergeCell ref="C43:D43"/>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C42:D42"/>
    <mergeCell ref="E42:F42"/>
    <mergeCell ref="A48:B48"/>
    <mergeCell ref="C48:D48"/>
    <mergeCell ref="E47:F47"/>
    <mergeCell ref="A49:B49"/>
    <mergeCell ref="C49:D49"/>
    <mergeCell ref="E49:F49"/>
    <mergeCell ref="G47:N47"/>
    <mergeCell ref="G49:N49"/>
    <mergeCell ref="O46:S46"/>
    <mergeCell ref="A46:B46"/>
    <mergeCell ref="C46:D46"/>
    <mergeCell ref="E46:F4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A61:S62"/>
    <mergeCell ref="C37:D37"/>
    <mergeCell ref="G43:N43"/>
    <mergeCell ref="A58:S58"/>
    <mergeCell ref="B54:S54"/>
    <mergeCell ref="A39:B39"/>
    <mergeCell ref="A44:B44"/>
    <mergeCell ref="C41:D41"/>
    <mergeCell ref="O43:S43"/>
    <mergeCell ref="O41:S41"/>
    <mergeCell ref="C39:D39"/>
    <mergeCell ref="E43:F43"/>
    <mergeCell ref="O40:S40"/>
    <mergeCell ref="G39:N39"/>
    <mergeCell ref="G41:N41"/>
    <mergeCell ref="E39:F39"/>
    <mergeCell ref="B53:S53"/>
    <mergeCell ref="B56:S56"/>
    <mergeCell ref="B55:S55"/>
    <mergeCell ref="A42:B42"/>
    <mergeCell ref="A47:B47"/>
    <mergeCell ref="C47:D47"/>
    <mergeCell ref="E48:F48"/>
    <mergeCell ref="G48:N48"/>
    <mergeCell ref="A1:S1"/>
    <mergeCell ref="D14:J14"/>
    <mergeCell ref="D15:J15"/>
    <mergeCell ref="A3:S9"/>
    <mergeCell ref="A11:S12"/>
    <mergeCell ref="O14:S14"/>
    <mergeCell ref="N15:S15"/>
    <mergeCell ref="N16:S16"/>
    <mergeCell ref="D16:J1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s>
  <phoneticPr fontId="2" type="noConversion"/>
  <conditionalFormatting sqref="T28 T34">
    <cfRule type="expression" dxfId="478" priority="72" stopIfTrue="1">
      <formula>T28&gt;=100</formula>
    </cfRule>
    <cfRule type="cellIs" dxfId="477" priority="73" stopIfTrue="1" operator="between">
      <formula>0</formula>
      <formula>99.99</formula>
    </cfRule>
    <cfRule type="expression" dxfId="476" priority="74" stopIfTrue="1">
      <formula>ISBLANK(T28)</formula>
    </cfRule>
  </conditionalFormatting>
  <conditionalFormatting sqref="T33">
    <cfRule type="cellIs" dxfId="475" priority="56" stopIfTrue="1" operator="equal">
      <formula>"CH"</formula>
    </cfRule>
    <cfRule type="expression" dxfId="474" priority="78" stopIfTrue="1">
      <formula>T33="FA"</formula>
    </cfRule>
    <cfRule type="expression" dxfId="473" priority="79" stopIfTrue="1">
      <formula>OR($T$33="PA",$T$33="NA")</formula>
    </cfRule>
  </conditionalFormatting>
  <conditionalFormatting sqref="T40">
    <cfRule type="cellIs" dxfId="472" priority="53" stopIfTrue="1" operator="equal">
      <formula>"CH"</formula>
    </cfRule>
    <cfRule type="expression" dxfId="471" priority="55" stopIfTrue="1">
      <formula>OR($T$40="PA",$T$40="NA")</formula>
    </cfRule>
  </conditionalFormatting>
  <conditionalFormatting sqref="T40:T41">
    <cfRule type="expression" dxfId="470" priority="54" stopIfTrue="1">
      <formula>T40="FA"</formula>
    </cfRule>
  </conditionalFormatting>
  <conditionalFormatting sqref="T41">
    <cfRule type="expression" dxfId="469" priority="96" stopIfTrue="1">
      <formula>OR(T41="PA",T41="NA")</formula>
    </cfRule>
    <cfRule type="expression" dxfId="468" priority="97" stopIfTrue="1">
      <formula>T41="CH"</formula>
    </cfRule>
  </conditionalFormatting>
  <conditionalFormatting sqref="T42">
    <cfRule type="cellIs" dxfId="467" priority="31" operator="equal">
      <formula>"CH"</formula>
    </cfRule>
    <cfRule type="expression" dxfId="466" priority="32" stopIfTrue="1">
      <formula>T42="FA"</formula>
    </cfRule>
    <cfRule type="expression" dxfId="465" priority="33" stopIfTrue="1">
      <formula>OR(#REF!="PA",#REF!="NA")</formula>
    </cfRule>
  </conditionalFormatting>
  <conditionalFormatting sqref="T43">
    <cfRule type="expression" dxfId="464" priority="46" stopIfTrue="1">
      <formula>OR($T$40="PA",$T$40="NA")</formula>
    </cfRule>
  </conditionalFormatting>
  <conditionalFormatting sqref="T43:T44">
    <cfRule type="cellIs" dxfId="463" priority="44" stopIfTrue="1" operator="equal">
      <formula>"CH"</formula>
    </cfRule>
    <cfRule type="expression" dxfId="462" priority="45" stopIfTrue="1">
      <formula>T43="FA"</formula>
    </cfRule>
  </conditionalFormatting>
  <conditionalFormatting sqref="T44">
    <cfRule type="expression" dxfId="461" priority="49" stopIfTrue="1">
      <formula>OR($T$44="PA",$T$44="NA")</formula>
    </cfRule>
  </conditionalFormatting>
  <conditionalFormatting sqref="T51:T56">
    <cfRule type="cellIs" dxfId="460" priority="4" operator="equal">
      <formula>"No"</formula>
    </cfRule>
    <cfRule type="cellIs" dxfId="459" priority="5" operator="equal">
      <formula>"yes"</formula>
    </cfRule>
  </conditionalFormatting>
  <conditionalFormatting sqref="T51:U56">
    <cfRule type="cellIs" dxfId="458" priority="1" operator="equal">
      <formula>"N/A"</formula>
    </cfRule>
  </conditionalFormatting>
  <conditionalFormatting sqref="T24:Z27 AB24:AB32 U28:Z29 T29 T30:Z32 U34:Z34 AB34:AB37 T35:Z37 T39:Z39 AB39">
    <cfRule type="cellIs" dxfId="457" priority="69" stopIfTrue="1" operator="greaterThanOrEqual">
      <formula>100</formula>
    </cfRule>
    <cfRule type="cellIs" dxfId="456" priority="70" stopIfTrue="1" operator="lessThan">
      <formula>100</formula>
    </cfRule>
  </conditionalFormatting>
  <conditionalFormatting sqref="T48:Z49 AB48:AB49">
    <cfRule type="cellIs" dxfId="455" priority="64" stopIfTrue="1" operator="greaterThanOrEqual">
      <formula>100</formula>
    </cfRule>
    <cfRule type="cellIs" dxfId="454" priority="65" stopIfTrue="1" operator="lessThan">
      <formula>100</formula>
    </cfRule>
  </conditionalFormatting>
  <conditionalFormatting sqref="AA24:AA32 AA34:AA37 AA39">
    <cfRule type="expression" dxfId="453" priority="75" stopIfTrue="1">
      <formula>OR(AA24="NA",AA24&lt;100.01)</formula>
    </cfRule>
    <cfRule type="expression" dxfId="452" priority="76" stopIfTrue="1">
      <formula>AND(NOT(AA24="NA"),AA24&gt;=100.01)</formula>
    </cfRule>
  </conditionalFormatting>
  <conditionalFormatting sqref="AA48:AA49">
    <cfRule type="expression" dxfId="451" priority="67" stopIfTrue="1">
      <formula>OR(AA48="NA",AA48&lt;100.01)</formula>
    </cfRule>
    <cfRule type="expression" dxfId="450" priority="68" stopIfTrue="1">
      <formula>AND(NOT(AA48="NA"),AA48&gt;=100.01)</formula>
    </cfRule>
  </conditionalFormatting>
  <conditionalFormatting sqref="AC27:AF32 AG30:AN31 AC34:AF35 AO34:AQ35 AC36:AQ37 AC39:AF39 AO39:AS39">
    <cfRule type="expression" dxfId="449" priority="71" stopIfTrue="1">
      <formula>AC27=""</formula>
    </cfRule>
  </conditionalFormatting>
  <conditionalFormatting sqref="AC48:AT49">
    <cfRule type="expression" dxfId="448" priority="2" stopIfTrue="1">
      <formula>AC48=""</formula>
    </cfRule>
  </conditionalFormatting>
  <conditionalFormatting sqref="AO38:AQ38">
    <cfRule type="expression" dxfId="447" priority="37" stopIfTrue="1">
      <formula>AO38=""</formula>
    </cfRule>
  </conditionalFormatting>
  <conditionalFormatting sqref="AO30:AT30 AO32:AT32">
    <cfRule type="expression" dxfId="446" priority="30" stopIfTrue="1">
      <formula>AO30=""</formula>
    </cfRule>
  </conditionalFormatting>
  <conditionalFormatting sqref="AR34:AS38">
    <cfRule type="expression" dxfId="445" priority="34" stopIfTrue="1">
      <formula>AR34=""</formula>
    </cfRule>
  </conditionalFormatting>
  <conditionalFormatting sqref="AT34:AT39">
    <cfRule type="expression" dxfId="444" priority="27" stopIfTrue="1">
      <formula>AT34=""</formula>
    </cfRule>
  </conditionalFormatting>
  <conditionalFormatting sqref="AT45:AT47">
    <cfRule type="expression" dxfId="443" priority="21" stopIfTrue="1">
      <formula>$AT$45="PA"</formula>
    </cfRule>
    <cfRule type="expression" dxfId="442" priority="22" stopIfTrue="1">
      <formula>AT45="FA"</formula>
    </cfRule>
  </conditionalFormatting>
  <dataValidations count="2">
    <dataValidation type="list" allowBlank="1" showInputMessage="1" showErrorMessage="1" sqref="D17:J17" xr:uid="{00000000-0002-0000-0300-000000000000}">
      <formula1>"Internal Combustion, Electric Vehicle"</formula1>
    </dataValidation>
    <dataValidation type="list" allowBlank="1" showInputMessage="1" showErrorMessage="1" sqref="T51:T56" xr:uid="{EC190367-D969-427B-B4C5-95B0B00DA68A}">
      <formula1>"No,N/A,Yes"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 ref="N15" r:id="rId1" xr:uid="{70BED729-0848-4590-8DB6-122324350461}"/>
  </hyperlinks>
  <printOptions horizontalCentered="1"/>
  <pageMargins left="0" right="0" top="0.39370078740157483" bottom="0.39370078740157483" header="0.51181102362204722" footer="0.51181102362204722"/>
  <pageSetup paperSize="9" scale="88" fitToWidth="2" orientation="portrait" r:id="rId2"/>
  <headerFooter alignWithMargins="0"/>
  <colBreaks count="1" manualBreakCount="1">
    <brk id="19" max="1048575"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8"/>
  <sheetViews>
    <sheetView showGridLines="0" view="pageBreakPreview" zoomScale="70" zoomScaleNormal="100" zoomScaleSheetLayoutView="70" workbookViewId="0">
      <selection activeCell="W11" sqref="W11"/>
    </sheetView>
  </sheetViews>
  <sheetFormatPr baseColWidth="10" defaultColWidth="11.46484375" defaultRowHeight="12.75"/>
  <cols>
    <col min="1" max="17" width="5" customWidth="1"/>
    <col min="18" max="19" width="5.53125" customWidth="1"/>
    <col min="20" max="21" width="5" customWidth="1"/>
    <col min="22" max="22" width="15.6640625" customWidth="1"/>
    <col min="23" max="23" width="11.46484375" style="6" customWidth="1"/>
    <col min="24" max="25" width="15.6640625" customWidth="1"/>
    <col min="26" max="26" width="11.46484375" customWidth="1"/>
    <col min="27" max="27" width="15.6640625" customWidth="1"/>
    <col min="28" max="28" width="11.46484375" customWidth="1"/>
    <col min="29" max="29" width="15.6640625" customWidth="1"/>
    <col min="30" max="39" width="5" customWidth="1"/>
  </cols>
  <sheetData>
    <row r="1" spans="1:39" ht="13.15">
      <c r="A1" s="1087" t="str">
        <f>CONCATENATE(Read_Me!A1," FS STRUCTURAL EQUIVALENCY SPREADSHEET (SES) ",Read_Me!B1," - COVER SHEET")</f>
        <v>2024 FS STRUCTURAL EQUIVALENCY SPREADSHEET (SES) V1.1 - COVER SHEET</v>
      </c>
      <c r="B1" s="1087"/>
      <c r="C1" s="1087"/>
      <c r="D1" s="1087"/>
      <c r="E1" s="1087"/>
      <c r="F1" s="1087"/>
      <c r="G1" s="1087"/>
      <c r="H1" s="1087"/>
      <c r="I1" s="1087"/>
      <c r="J1" s="1087"/>
      <c r="K1" s="1087"/>
      <c r="L1" s="1087"/>
      <c r="M1" s="1087"/>
      <c r="N1" s="1087"/>
      <c r="O1" s="1087"/>
      <c r="P1" s="1087"/>
      <c r="Q1" s="1087"/>
      <c r="R1" s="1087"/>
      <c r="S1" s="1087"/>
      <c r="T1" s="318"/>
      <c r="U1" s="318"/>
      <c r="V1" s="316"/>
      <c r="W1" s="376"/>
      <c r="X1" s="316"/>
      <c r="Y1" s="316"/>
      <c r="Z1" s="316"/>
      <c r="AA1" s="316"/>
      <c r="AB1" s="316"/>
      <c r="AC1" s="316"/>
      <c r="AD1" s="318"/>
      <c r="AE1" s="318"/>
      <c r="AF1" s="26"/>
      <c r="AG1" s="26"/>
      <c r="AH1" s="26"/>
      <c r="AI1" s="26"/>
      <c r="AJ1" s="26"/>
      <c r="AK1" s="26"/>
      <c r="AL1" s="26"/>
      <c r="AM1" s="26"/>
    </row>
    <row r="2" spans="1:39" ht="44.25" customHeight="1" thickBot="1">
      <c r="T2" s="318"/>
      <c r="U2" s="318"/>
      <c r="V2" s="594" t="s">
        <v>133</v>
      </c>
      <c r="W2" s="376"/>
      <c r="X2" s="316"/>
      <c r="Y2" s="316"/>
      <c r="Z2" s="316"/>
      <c r="AA2" s="316"/>
      <c r="AB2" s="316"/>
      <c r="AC2" s="316"/>
      <c r="AD2" s="318"/>
      <c r="AE2" s="318"/>
      <c r="AF2" s="26"/>
      <c r="AG2" s="26"/>
      <c r="AH2" s="26"/>
      <c r="AI2" s="26"/>
      <c r="AJ2" s="26"/>
      <c r="AK2" s="26"/>
      <c r="AL2" s="26"/>
      <c r="AM2" s="26"/>
    </row>
    <row r="3" spans="1:39" ht="14" customHeight="1">
      <c r="A3" t="s">
        <v>39</v>
      </c>
      <c r="D3" s="1157" t="str">
        <f>IF('Cover Sheet'!D14:J14&gt;0,'Cover Sheet'!D14:J14,"")</f>
        <v>Ecole Centrale Lyon</v>
      </c>
      <c r="E3" s="1157"/>
      <c r="F3" s="1157"/>
      <c r="G3" s="1157"/>
      <c r="H3" s="1157"/>
      <c r="I3" s="1157"/>
      <c r="J3" s="1157"/>
      <c r="K3" t="s">
        <v>40</v>
      </c>
      <c r="O3" s="1157" t="str">
        <f>IF('Cover Sheet'!O14:S14&gt;0,'Cover Sheet'!O14:S14,"")</f>
        <v>81 FSCH</v>
      </c>
      <c r="P3" s="1157"/>
      <c r="Q3" s="1157"/>
      <c r="R3" s="1157"/>
      <c r="S3" s="1157"/>
      <c r="T3" s="318"/>
      <c r="U3" s="318"/>
      <c r="V3" s="1161" t="s">
        <v>134</v>
      </c>
      <c r="W3" s="1160" t="s">
        <v>135</v>
      </c>
      <c r="X3" s="1160" t="s">
        <v>136</v>
      </c>
      <c r="Y3" s="1167" t="s">
        <v>137</v>
      </c>
      <c r="Z3" s="1167" t="s">
        <v>138</v>
      </c>
      <c r="AA3" s="1160" t="s">
        <v>139</v>
      </c>
      <c r="AB3" s="1160" t="s">
        <v>140</v>
      </c>
      <c r="AC3" s="1164" t="s">
        <v>141</v>
      </c>
      <c r="AD3" s="318"/>
      <c r="AE3" s="316"/>
      <c r="AF3" s="26"/>
      <c r="AG3" s="26"/>
      <c r="AH3" s="26"/>
      <c r="AI3" s="26"/>
      <c r="AJ3" s="26"/>
      <c r="AK3" s="26"/>
      <c r="AL3" s="26"/>
      <c r="AM3" s="26"/>
    </row>
    <row r="4" spans="1:39" ht="14" customHeight="1">
      <c r="T4" s="318"/>
      <c r="U4" s="318"/>
      <c r="V4" s="1162"/>
      <c r="W4" s="1096"/>
      <c r="X4" s="1096"/>
      <c r="Y4" s="1168"/>
      <c r="Z4" s="1168"/>
      <c r="AA4" s="1096"/>
      <c r="AB4" s="1096"/>
      <c r="AC4" s="1165"/>
      <c r="AD4" s="318"/>
      <c r="AE4" s="316"/>
      <c r="AF4" s="26"/>
      <c r="AG4" s="26"/>
      <c r="AH4" s="26"/>
      <c r="AI4" s="26"/>
      <c r="AJ4" s="26"/>
      <c r="AK4" s="26"/>
      <c r="AL4" s="26"/>
      <c r="AM4" s="26"/>
    </row>
    <row r="5" spans="1:39" ht="14" customHeight="1">
      <c r="A5" s="1158" t="s">
        <v>142</v>
      </c>
      <c r="B5" s="1158"/>
      <c r="C5" s="1158"/>
      <c r="D5" s="1158"/>
      <c r="E5" s="1158"/>
      <c r="F5" s="1158"/>
      <c r="G5" s="1158"/>
      <c r="H5" s="1158"/>
      <c r="I5" s="1158"/>
      <c r="J5" s="1158"/>
      <c r="K5" s="1158"/>
      <c r="L5" s="1158"/>
      <c r="M5" s="1158"/>
      <c r="N5" s="1158"/>
      <c r="O5" s="1158"/>
      <c r="P5" s="1158"/>
      <c r="Q5" s="1158"/>
      <c r="R5" s="1158"/>
      <c r="S5" s="1158"/>
      <c r="T5" s="318"/>
      <c r="U5" s="318"/>
      <c r="V5" s="1162"/>
      <c r="W5" s="1096"/>
      <c r="X5" s="1096"/>
      <c r="Y5" s="1168"/>
      <c r="Z5" s="1168"/>
      <c r="AA5" s="1096"/>
      <c r="AB5" s="1096"/>
      <c r="AC5" s="1165"/>
      <c r="AD5" s="318"/>
      <c r="AE5" s="316"/>
      <c r="AF5" s="26"/>
      <c r="AG5" s="26"/>
      <c r="AH5" s="26"/>
      <c r="AI5" s="26"/>
      <c r="AJ5" s="26"/>
      <c r="AK5" s="26"/>
      <c r="AL5" s="26"/>
      <c r="AM5" s="26"/>
    </row>
    <row r="6" spans="1:39" ht="14" customHeight="1">
      <c r="A6" s="1158"/>
      <c r="B6" s="1158"/>
      <c r="C6" s="1158"/>
      <c r="D6" s="1158"/>
      <c r="E6" s="1158"/>
      <c r="F6" s="1158"/>
      <c r="G6" s="1158"/>
      <c r="H6" s="1158"/>
      <c r="I6" s="1158"/>
      <c r="J6" s="1158"/>
      <c r="K6" s="1158"/>
      <c r="L6" s="1158"/>
      <c r="M6" s="1158"/>
      <c r="N6" s="1158"/>
      <c r="O6" s="1158"/>
      <c r="P6" s="1158"/>
      <c r="Q6" s="1158"/>
      <c r="R6" s="1158"/>
      <c r="S6" s="1158"/>
      <c r="T6" s="318"/>
      <c r="U6" s="26"/>
      <c r="V6" s="1162"/>
      <c r="W6" s="1096"/>
      <c r="X6" s="1096"/>
      <c r="Y6" s="1168"/>
      <c r="Z6" s="1168"/>
      <c r="AA6" s="1096"/>
      <c r="AB6" s="1096"/>
      <c r="AC6" s="1165"/>
      <c r="AD6" s="318"/>
      <c r="AE6" s="316"/>
      <c r="AF6" s="26"/>
      <c r="AG6" s="26"/>
      <c r="AH6" s="26"/>
      <c r="AI6" s="26"/>
      <c r="AJ6" s="26"/>
      <c r="AK6" s="26"/>
      <c r="AL6" s="26"/>
      <c r="AM6" s="26"/>
    </row>
    <row r="7" spans="1:39" ht="14" customHeight="1" thickBot="1">
      <c r="A7" s="1158"/>
      <c r="B7" s="1158"/>
      <c r="C7" s="1158"/>
      <c r="D7" s="1158"/>
      <c r="E7" s="1158"/>
      <c r="F7" s="1158"/>
      <c r="G7" s="1158"/>
      <c r="H7" s="1158"/>
      <c r="I7" s="1158"/>
      <c r="J7" s="1158"/>
      <c r="K7" s="1158"/>
      <c r="L7" s="1158"/>
      <c r="M7" s="1158"/>
      <c r="N7" s="1158"/>
      <c r="O7" s="1158"/>
      <c r="P7" s="1158"/>
      <c r="Q7" s="1158"/>
      <c r="R7" s="1158"/>
      <c r="S7" s="1158"/>
      <c r="T7" s="318"/>
      <c r="U7" s="26"/>
      <c r="V7" s="1163"/>
      <c r="W7" s="1097"/>
      <c r="X7" s="1097"/>
      <c r="Y7" s="1169"/>
      <c r="Z7" s="1169"/>
      <c r="AA7" s="1097"/>
      <c r="AB7" s="1097"/>
      <c r="AC7" s="1166"/>
      <c r="AD7" s="318"/>
      <c r="AE7" s="316"/>
      <c r="AF7" s="26"/>
      <c r="AG7" s="26"/>
      <c r="AH7" s="26"/>
      <c r="AI7" s="26"/>
      <c r="AJ7" s="26"/>
      <c r="AK7" s="26"/>
      <c r="AL7" s="26"/>
      <c r="AM7" s="26"/>
    </row>
    <row r="8" spans="1:39" ht="14" customHeight="1">
      <c r="A8" s="1158"/>
      <c r="B8" s="1158"/>
      <c r="C8" s="1158"/>
      <c r="D8" s="1158"/>
      <c r="E8" s="1158"/>
      <c r="F8" s="1158"/>
      <c r="G8" s="1158"/>
      <c r="H8" s="1158"/>
      <c r="I8" s="1158"/>
      <c r="J8" s="1158"/>
      <c r="K8" s="1158"/>
      <c r="L8" s="1158"/>
      <c r="M8" s="1158"/>
      <c r="N8" s="1158"/>
      <c r="O8" s="1158"/>
      <c r="P8" s="1158"/>
      <c r="Q8" s="1158"/>
      <c r="R8" s="1158"/>
      <c r="S8" s="1158"/>
      <c r="T8" s="318"/>
      <c r="U8" s="528"/>
      <c r="V8" s="515" t="s">
        <v>143</v>
      </c>
      <c r="W8" s="518">
        <f>'T3.10.5 T3.5 MHoop Brace Spt'!$F$21</f>
        <v>0</v>
      </c>
      <c r="X8" s="519"/>
      <c r="Y8" s="520"/>
      <c r="Z8" s="521">
        <f>'T3.10.5 T3.5 MHoop Brace Spt'!$F$19</f>
        <v>0</v>
      </c>
      <c r="AA8" s="520"/>
      <c r="AB8" s="518">
        <f>'T3.10.5 T3.5 MHoop Brace Spt'!$F$20</f>
        <v>0</v>
      </c>
      <c r="AC8" s="522"/>
      <c r="AD8" s="318"/>
      <c r="AE8" s="316"/>
      <c r="AF8" s="26"/>
      <c r="AG8" s="26"/>
      <c r="AH8" s="26"/>
      <c r="AI8" s="26"/>
      <c r="AJ8" s="26"/>
      <c r="AK8" s="26"/>
      <c r="AL8" s="26"/>
      <c r="AM8" s="26"/>
    </row>
    <row r="9" spans="1:39" ht="14" customHeight="1">
      <c r="A9" s="1158"/>
      <c r="B9" s="1158"/>
      <c r="C9" s="1158"/>
      <c r="D9" s="1158"/>
      <c r="E9" s="1158"/>
      <c r="F9" s="1158"/>
      <c r="G9" s="1158"/>
      <c r="H9" s="1158"/>
      <c r="I9" s="1158"/>
      <c r="J9" s="1158"/>
      <c r="K9" s="1158"/>
      <c r="L9" s="1158"/>
      <c r="M9" s="1158"/>
      <c r="N9" s="1158"/>
      <c r="O9" s="1158"/>
      <c r="P9" s="1158"/>
      <c r="Q9" s="1158"/>
      <c r="R9" s="1159"/>
      <c r="S9" s="1159"/>
      <c r="T9" s="318"/>
      <c r="U9" s="529"/>
      <c r="V9" s="515" t="s">
        <v>144</v>
      </c>
      <c r="W9" s="518">
        <f>'T3.11 T3.5 FHoop Bracing'!$F$21</f>
        <v>0</v>
      </c>
      <c r="X9" s="519"/>
      <c r="Y9" s="520"/>
      <c r="Z9" s="521">
        <f>'T3.11 T3.5 FHoop Bracing'!$F$19</f>
        <v>0</v>
      </c>
      <c r="AA9" s="520"/>
      <c r="AB9" s="518">
        <f>'T3.11 T3.5 FHoop Bracing'!$F$20</f>
        <v>0</v>
      </c>
      <c r="AC9" s="522"/>
      <c r="AD9" s="318"/>
      <c r="AE9" s="316"/>
      <c r="AF9" s="26"/>
      <c r="AG9" s="26"/>
      <c r="AH9" s="26"/>
      <c r="AI9" s="26"/>
      <c r="AJ9" s="26"/>
      <c r="AK9" s="26"/>
      <c r="AL9" s="26"/>
      <c r="AM9" s="26"/>
    </row>
    <row r="10" spans="1:39" ht="14" customHeight="1">
      <c r="A10" s="735" t="s">
        <v>145</v>
      </c>
      <c r="Q10" s="6"/>
      <c r="R10" s="1156" t="s">
        <v>146</v>
      </c>
      <c r="S10" s="1156"/>
      <c r="T10" s="318"/>
      <c r="U10" s="530"/>
      <c r="V10" s="515" t="s">
        <v>147</v>
      </c>
      <c r="W10" s="518">
        <f>'T3.13 T3.5 Ft Bulkhead'!$F$24</f>
        <v>0</v>
      </c>
      <c r="X10" s="519"/>
      <c r="Y10" s="520"/>
      <c r="Z10" s="521">
        <f>'T3.13 T3.5 Ft Bulkhead'!$F$22</f>
        <v>0</v>
      </c>
      <c r="AA10" s="520"/>
      <c r="AB10" s="518">
        <f>'T3.13 T3.5 Ft Bulkhead'!$F$23</f>
        <v>0</v>
      </c>
      <c r="AC10" s="522"/>
      <c r="AD10" s="318"/>
      <c r="AE10" s="316"/>
      <c r="AF10" s="26"/>
      <c r="AG10" s="26"/>
      <c r="AH10" s="26"/>
      <c r="AI10" s="26"/>
      <c r="AJ10" s="26"/>
      <c r="AK10" s="26"/>
      <c r="AL10" s="26"/>
      <c r="AM10" s="26"/>
    </row>
    <row r="11" spans="1:39" ht="14" customHeight="1">
      <c r="Q11" s="6"/>
      <c r="R11" s="1156"/>
      <c r="S11" s="1156"/>
      <c r="T11" s="318"/>
      <c r="U11" s="531"/>
      <c r="V11" s="515" t="s">
        <v>148</v>
      </c>
      <c r="W11" s="518">
        <f>'T3.14 T3.5 FBH Spt Structure'!$I$21</f>
        <v>0</v>
      </c>
      <c r="X11" s="519"/>
      <c r="Y11" s="520"/>
      <c r="Z11" s="521">
        <f>'T3.14 T3.5 FBH Spt Structure'!$I$19</f>
        <v>0</v>
      </c>
      <c r="AA11" s="520"/>
      <c r="AB11" s="518">
        <f>'T3.14 T3.5 FBH Spt Structure'!$I$20</f>
        <v>0</v>
      </c>
      <c r="AC11" s="522"/>
      <c r="AD11" s="318"/>
      <c r="AE11" s="316"/>
      <c r="AF11" s="26"/>
      <c r="AG11" s="26"/>
      <c r="AH11" s="26"/>
      <c r="AI11" s="26"/>
      <c r="AJ11" s="26"/>
      <c r="AK11" s="26"/>
      <c r="AL11" s="26"/>
      <c r="AM11" s="26"/>
    </row>
    <row r="12" spans="1:39" ht="14" customHeight="1">
      <c r="A12" s="368" t="s">
        <v>149</v>
      </c>
      <c r="Q12" s="64"/>
      <c r="R12" s="1154" t="s">
        <v>122</v>
      </c>
      <c r="S12" s="1155"/>
      <c r="T12" s="318"/>
      <c r="U12" s="532"/>
      <c r="V12" s="515" t="s">
        <v>150</v>
      </c>
      <c r="W12" s="518">
        <f>'T3.15 T3.5 SIS'!$I$21</f>
        <v>0</v>
      </c>
      <c r="X12" s="519"/>
      <c r="Y12" s="520"/>
      <c r="Z12" s="521">
        <f>'T3.15 T3.5 SIS'!$I$19</f>
        <v>0</v>
      </c>
      <c r="AA12" s="520"/>
      <c r="AB12" s="518">
        <f>'T3.15 T3.5 SIS'!$I$20</f>
        <v>0</v>
      </c>
      <c r="AC12" s="522"/>
      <c r="AD12" s="318"/>
      <c r="AE12" s="316"/>
      <c r="AF12" s="26"/>
      <c r="AG12" s="26"/>
      <c r="AH12" s="26"/>
      <c r="AI12" s="26"/>
      <c r="AJ12" s="26"/>
      <c r="AK12" s="26"/>
      <c r="AL12" s="26"/>
      <c r="AM12" s="26"/>
    </row>
    <row r="13" spans="1:39" ht="14" customHeight="1">
      <c r="A13" s="368" t="s">
        <v>151</v>
      </c>
      <c r="Q13" s="64"/>
      <c r="R13" s="1154" t="s">
        <v>122</v>
      </c>
      <c r="S13" s="1155"/>
      <c r="T13" s="318"/>
      <c r="U13" s="533"/>
      <c r="V13" s="515" t="s">
        <v>152</v>
      </c>
      <c r="W13" s="518">
        <f>'T3.15 T3.5 SIS'!$J$21</f>
        <v>0</v>
      </c>
      <c r="X13" s="519"/>
      <c r="Y13" s="520"/>
      <c r="Z13" s="521">
        <f>'T3.15 T3.5 SIS'!$J$19</f>
        <v>0</v>
      </c>
      <c r="AA13" s="520"/>
      <c r="AB13" s="518">
        <f>'T3.15 T3.5 SIS'!$J$20</f>
        <v>0</v>
      </c>
      <c r="AC13" s="522"/>
      <c r="AD13" s="318"/>
      <c r="AE13" s="316"/>
      <c r="AF13" s="26"/>
      <c r="AG13" s="26"/>
      <c r="AH13" s="26"/>
      <c r="AI13" s="26"/>
      <c r="AJ13" s="26"/>
      <c r="AK13" s="26"/>
      <c r="AL13" s="26"/>
      <c r="AM13" s="26"/>
    </row>
    <row r="14" spans="1:39" ht="14" customHeight="1">
      <c r="A14" s="368" t="s">
        <v>153</v>
      </c>
      <c r="Q14" s="64"/>
      <c r="R14" s="1154" t="s">
        <v>122</v>
      </c>
      <c r="S14" s="1155"/>
      <c r="T14" s="318"/>
      <c r="U14" s="534"/>
      <c r="V14" s="515" t="s">
        <v>154</v>
      </c>
      <c r="W14" s="518">
        <f>'T4.5 Shoulder Harness Bar'!$F$23</f>
        <v>0</v>
      </c>
      <c r="X14" s="519"/>
      <c r="Y14" s="520"/>
      <c r="Z14" s="521">
        <f>'T4.5 Shoulder Harness Bar'!$F$21</f>
        <v>0</v>
      </c>
      <c r="AA14" s="520"/>
      <c r="AB14" s="518">
        <f>'T4.5 Shoulder Harness Bar'!$F$22</f>
        <v>0</v>
      </c>
      <c r="AC14" s="522"/>
      <c r="AD14" s="318"/>
      <c r="AE14" s="316"/>
      <c r="AF14" s="26"/>
      <c r="AG14" s="26"/>
      <c r="AH14" s="26"/>
      <c r="AI14" s="26"/>
      <c r="AJ14" s="26"/>
      <c r="AK14" s="26"/>
      <c r="AL14" s="26"/>
      <c r="AM14" s="26"/>
    </row>
    <row r="15" spans="1:39" ht="14" customHeight="1">
      <c r="A15" s="368" t="s">
        <v>155</v>
      </c>
      <c r="Q15" s="64"/>
      <c r="R15" s="1154" t="s">
        <v>122</v>
      </c>
      <c r="S15" s="1155"/>
      <c r="T15" s="318"/>
      <c r="U15" s="377"/>
      <c r="V15" s="516" t="s">
        <v>156</v>
      </c>
      <c r="W15" s="523"/>
      <c r="X15" s="519"/>
      <c r="Y15" s="520"/>
      <c r="Z15" s="523"/>
      <c r="AA15" s="520"/>
      <c r="AB15" s="523"/>
      <c r="AC15" s="522"/>
      <c r="AD15" s="318"/>
      <c r="AE15" s="316"/>
      <c r="AF15" s="26"/>
      <c r="AG15" s="26"/>
      <c r="AH15" s="26"/>
      <c r="AI15" s="26"/>
      <c r="AJ15" s="26"/>
      <c r="AK15" s="26"/>
      <c r="AL15" s="26"/>
      <c r="AM15" s="26"/>
    </row>
    <row r="16" spans="1:39" ht="14" customHeight="1">
      <c r="A16" s="514" t="s">
        <v>157</v>
      </c>
      <c r="Q16" s="64"/>
      <c r="R16" s="1154" t="s">
        <v>122</v>
      </c>
      <c r="S16" s="1155"/>
      <c r="T16" s="318"/>
      <c r="U16" s="377"/>
      <c r="V16" s="516" t="s">
        <v>158</v>
      </c>
      <c r="W16" s="523"/>
      <c r="X16" s="519"/>
      <c r="Y16" s="520"/>
      <c r="Z16" s="523"/>
      <c r="AA16" s="520"/>
      <c r="AB16" s="523"/>
      <c r="AC16" s="522"/>
      <c r="AD16" s="318"/>
      <c r="AE16" s="316"/>
      <c r="AF16" s="26"/>
      <c r="AG16" s="26"/>
      <c r="AH16" s="26"/>
      <c r="AI16" s="26"/>
      <c r="AJ16" s="26"/>
      <c r="AK16" s="26"/>
      <c r="AL16" s="26"/>
      <c r="AM16" s="26"/>
    </row>
    <row r="17" spans="1:39" ht="13.5" customHeight="1">
      <c r="A17" s="514" t="s">
        <v>159</v>
      </c>
      <c r="Q17" s="64"/>
      <c r="R17" s="1154" t="s">
        <v>122</v>
      </c>
      <c r="S17" s="1155"/>
      <c r="T17" s="318"/>
      <c r="U17" s="377"/>
      <c r="V17" s="516" t="s">
        <v>160</v>
      </c>
      <c r="W17" s="523"/>
      <c r="X17" s="519"/>
      <c r="Y17" s="520"/>
      <c r="Z17" s="523"/>
      <c r="AA17" s="520"/>
      <c r="AB17" s="523"/>
      <c r="AC17" s="522"/>
      <c r="AD17" s="318"/>
      <c r="AE17" s="316"/>
      <c r="AF17" s="26"/>
      <c r="AG17" s="26"/>
      <c r="AH17" s="26"/>
      <c r="AI17" s="26"/>
      <c r="AJ17" s="26"/>
      <c r="AK17" s="26"/>
      <c r="AL17" s="26"/>
      <c r="AM17" s="26"/>
    </row>
    <row r="18" spans="1:39" ht="13.5" customHeight="1">
      <c r="A18" s="514" t="s">
        <v>161</v>
      </c>
      <c r="Q18" s="64"/>
      <c r="R18" s="1149" t="s">
        <v>122</v>
      </c>
      <c r="S18" s="1150"/>
      <c r="T18" s="318"/>
      <c r="U18" s="377"/>
      <c r="V18" s="516" t="s">
        <v>162</v>
      </c>
      <c r="W18" s="523"/>
      <c r="X18" s="519"/>
      <c r="Y18" s="520"/>
      <c r="Z18" s="523"/>
      <c r="AA18" s="520"/>
      <c r="AB18" s="523"/>
      <c r="AC18" s="522"/>
      <c r="AD18" s="318"/>
      <c r="AE18" s="316"/>
      <c r="AF18" s="26"/>
      <c r="AG18" s="26"/>
      <c r="AH18" s="26"/>
      <c r="AI18" s="26"/>
      <c r="AJ18" s="26"/>
      <c r="AK18" s="26"/>
      <c r="AL18" s="26"/>
      <c r="AM18" s="26"/>
    </row>
    <row r="19" spans="1:39" ht="37.5" customHeight="1">
      <c r="A19" s="1151" t="s">
        <v>163</v>
      </c>
      <c r="B19" s="1151"/>
      <c r="C19" s="1151"/>
      <c r="D19" s="1151"/>
      <c r="E19" s="1151"/>
      <c r="F19" s="1151"/>
      <c r="G19" s="1151"/>
      <c r="H19" s="1151"/>
      <c r="I19" s="1151"/>
      <c r="J19" s="1151"/>
      <c r="K19" s="1151"/>
      <c r="L19" s="1151"/>
      <c r="M19" s="1151"/>
      <c r="N19" s="1151"/>
      <c r="O19" s="1151"/>
      <c r="P19" s="1151"/>
      <c r="Q19" s="1152"/>
      <c r="R19" s="1153" t="s">
        <v>122</v>
      </c>
      <c r="S19" s="1153"/>
      <c r="T19" s="318"/>
      <c r="U19" s="377"/>
      <c r="V19" s="516" t="s">
        <v>164</v>
      </c>
      <c r="W19" s="523"/>
      <c r="X19" s="519"/>
      <c r="Y19" s="520"/>
      <c r="Z19" s="523"/>
      <c r="AA19" s="520"/>
      <c r="AB19" s="523"/>
      <c r="AC19" s="522"/>
      <c r="AD19" s="318"/>
      <c r="AE19" s="318"/>
      <c r="AF19" s="26"/>
      <c r="AG19" s="26"/>
      <c r="AH19" s="26"/>
      <c r="AI19" s="26"/>
      <c r="AJ19" s="26"/>
      <c r="AK19" s="26"/>
      <c r="AL19" s="26"/>
      <c r="AM19" s="26"/>
    </row>
    <row r="20" spans="1:39" ht="27.75" customHeight="1">
      <c r="A20" s="1151" t="s">
        <v>165</v>
      </c>
      <c r="B20" s="1151"/>
      <c r="C20" s="1151"/>
      <c r="D20" s="1151"/>
      <c r="E20" s="1151"/>
      <c r="F20" s="1151"/>
      <c r="G20" s="1151"/>
      <c r="H20" s="1151"/>
      <c r="I20" s="1151"/>
      <c r="J20" s="1151"/>
      <c r="K20" s="1151"/>
      <c r="L20" s="1151"/>
      <c r="M20" s="1151"/>
      <c r="N20" s="1151"/>
      <c r="O20" s="1151"/>
      <c r="P20" s="1151"/>
      <c r="Q20" s="1152"/>
      <c r="R20" s="1153" t="s">
        <v>122</v>
      </c>
      <c r="S20" s="1153"/>
      <c r="T20" s="26"/>
      <c r="U20" s="377"/>
      <c r="V20" s="516" t="s">
        <v>166</v>
      </c>
      <c r="W20" s="523"/>
      <c r="X20" s="519"/>
      <c r="Y20" s="520"/>
      <c r="Z20" s="523"/>
      <c r="AA20" s="520"/>
      <c r="AB20" s="523"/>
      <c r="AC20" s="522"/>
      <c r="AD20" s="318"/>
      <c r="AE20" s="318"/>
      <c r="AF20" s="26"/>
      <c r="AG20" s="26"/>
      <c r="AH20" s="26"/>
      <c r="AI20" s="26"/>
      <c r="AJ20" s="26"/>
      <c r="AK20" s="26"/>
      <c r="AL20" s="26"/>
      <c r="AM20" s="26"/>
    </row>
    <row r="21" spans="1:39" ht="37.5" customHeight="1">
      <c r="A21" s="1151" t="s">
        <v>167</v>
      </c>
      <c r="B21" s="1151"/>
      <c r="C21" s="1151"/>
      <c r="D21" s="1151"/>
      <c r="E21" s="1151"/>
      <c r="F21" s="1151"/>
      <c r="G21" s="1151"/>
      <c r="H21" s="1151"/>
      <c r="I21" s="1151"/>
      <c r="J21" s="1151"/>
      <c r="K21" s="1151"/>
      <c r="L21" s="1151"/>
      <c r="M21" s="1151"/>
      <c r="N21" s="1151"/>
      <c r="O21" s="1151"/>
      <c r="P21" s="1151"/>
      <c r="Q21" s="1152"/>
      <c r="R21" s="1153" t="s">
        <v>122</v>
      </c>
      <c r="S21" s="1153"/>
      <c r="T21" s="26"/>
      <c r="U21" s="378"/>
      <c r="V21" s="517" t="s">
        <v>168</v>
      </c>
      <c r="W21" s="524"/>
      <c r="X21" s="525"/>
      <c r="Y21" s="526"/>
      <c r="Z21" s="524"/>
      <c r="AA21" s="526"/>
      <c r="AB21" s="524"/>
      <c r="AC21" s="527"/>
      <c r="AD21" s="26"/>
      <c r="AE21" s="26"/>
      <c r="AF21" s="26"/>
      <c r="AG21" s="26"/>
      <c r="AH21" s="26"/>
      <c r="AI21" s="26"/>
      <c r="AJ21" s="26"/>
      <c r="AK21" s="26"/>
      <c r="AL21" s="26"/>
      <c r="AM21" s="26"/>
    </row>
    <row r="22" spans="1:39">
      <c r="A22" s="25"/>
      <c r="B22" s="26"/>
      <c r="C22" s="26"/>
      <c r="D22" s="26"/>
      <c r="E22" s="26"/>
      <c r="F22" s="26"/>
      <c r="G22" s="26"/>
      <c r="H22" s="26"/>
      <c r="I22" s="26"/>
      <c r="J22" s="26"/>
      <c r="K22" s="26"/>
      <c r="L22" s="26"/>
      <c r="M22" s="26"/>
      <c r="N22" s="26"/>
      <c r="O22" s="26"/>
      <c r="P22" s="26"/>
      <c r="Q22" s="26"/>
      <c r="R22" s="26"/>
      <c r="S22" s="27"/>
      <c r="T22" s="25"/>
      <c r="U22" s="26"/>
      <c r="V22" s="26"/>
      <c r="W22" s="23"/>
      <c r="X22" s="26"/>
      <c r="Y22" s="26"/>
      <c r="Z22" s="26"/>
      <c r="AA22" s="26"/>
      <c r="AB22" s="26"/>
      <c r="AC22" s="26"/>
      <c r="AD22" s="26"/>
      <c r="AE22" s="26"/>
      <c r="AF22" s="26"/>
      <c r="AG22" s="26"/>
      <c r="AH22" s="26"/>
      <c r="AI22" s="26"/>
      <c r="AJ22" s="26"/>
      <c r="AK22" s="26"/>
      <c r="AL22" s="26"/>
      <c r="AM22" s="26"/>
    </row>
    <row r="23" spans="1:39">
      <c r="A23" s="294"/>
      <c r="B23" s="215"/>
      <c r="C23" s="215"/>
      <c r="D23" s="215"/>
      <c r="E23" s="215"/>
      <c r="F23" s="215"/>
      <c r="G23" s="215"/>
      <c r="H23" s="215"/>
      <c r="I23" s="215"/>
      <c r="J23" s="215"/>
      <c r="K23" s="215"/>
      <c r="L23" s="215"/>
      <c r="M23" s="215"/>
      <c r="N23" s="215"/>
      <c r="O23" s="215"/>
      <c r="P23" s="215"/>
      <c r="Q23" s="215"/>
      <c r="R23" s="215"/>
      <c r="S23" s="295"/>
      <c r="T23" s="25"/>
      <c r="U23" s="26"/>
      <c r="V23" s="26"/>
      <c r="W23" s="23"/>
      <c r="X23" s="374"/>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2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374"/>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2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374"/>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2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374"/>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26"/>
      <c r="Q66" s="26"/>
      <c r="R66" s="26"/>
      <c r="S66" s="26"/>
      <c r="T66" s="25"/>
      <c r="U66" s="26"/>
      <c r="V66" s="26"/>
      <c r="W66" s="23"/>
      <c r="X66" s="26"/>
      <c r="Y66" s="26"/>
      <c r="Z66" s="26"/>
      <c r="AA66" s="26"/>
      <c r="AB66" s="26"/>
      <c r="AC66" s="26"/>
      <c r="AD66" s="26"/>
      <c r="AE66" s="26"/>
      <c r="AF66" s="26"/>
      <c r="AG66" s="26"/>
      <c r="AH66" s="26"/>
      <c r="AI66" s="26"/>
      <c r="AJ66" s="26"/>
      <c r="AK66" s="26"/>
      <c r="AL66" s="26"/>
      <c r="AM66" s="26"/>
    </row>
    <row r="67" spans="1:39">
      <c r="A67" s="25"/>
      <c r="B67" s="26"/>
      <c r="C67" s="26"/>
      <c r="D67" s="26"/>
      <c r="E67" s="26"/>
      <c r="F67" s="26"/>
      <c r="G67" s="26"/>
      <c r="H67" s="26"/>
      <c r="I67" s="26"/>
      <c r="J67" s="26"/>
      <c r="K67" s="26"/>
      <c r="L67" s="26"/>
      <c r="M67" s="26"/>
      <c r="N67" s="26"/>
      <c r="O67" s="26"/>
      <c r="P67" s="374"/>
      <c r="Q67" s="26"/>
      <c r="R67" s="26"/>
      <c r="S67" s="374"/>
      <c r="T67" s="25"/>
      <c r="U67" s="26"/>
      <c r="V67" s="26"/>
      <c r="W67" s="23"/>
      <c r="X67" s="26"/>
      <c r="Y67" s="26"/>
      <c r="Z67" s="26"/>
      <c r="AA67" s="26"/>
      <c r="AB67" s="26"/>
      <c r="AC67" s="26"/>
      <c r="AD67" s="26"/>
      <c r="AF67" s="26"/>
      <c r="AG67" s="26"/>
      <c r="AH67" s="26"/>
      <c r="AI67" s="26"/>
      <c r="AJ67" s="26"/>
      <c r="AK67" s="26"/>
      <c r="AL67" s="26"/>
      <c r="AM67" s="26"/>
    </row>
    <row r="68" spans="1:39">
      <c r="A68" s="33"/>
      <c r="B68" s="31"/>
      <c r="C68" s="31"/>
      <c r="D68" s="31"/>
      <c r="E68" s="31"/>
      <c r="F68" s="31"/>
      <c r="G68" s="31"/>
      <c r="H68" s="31"/>
      <c r="I68" s="31"/>
      <c r="J68" s="31"/>
      <c r="K68" s="31"/>
      <c r="L68" s="31"/>
      <c r="M68" s="31"/>
      <c r="N68" s="31"/>
      <c r="O68" s="31"/>
      <c r="P68" s="31"/>
      <c r="Q68" s="31"/>
      <c r="R68" s="31"/>
      <c r="S68" s="386"/>
      <c r="T68" s="33"/>
      <c r="U68" s="31"/>
      <c r="V68" s="31"/>
      <c r="W68" s="30"/>
      <c r="X68" s="31"/>
      <c r="Y68" s="31"/>
      <c r="Z68" s="31"/>
      <c r="AA68" s="31"/>
      <c r="AB68" s="31"/>
      <c r="AC68" s="31"/>
      <c r="AD68" s="31"/>
      <c r="AF68" s="26"/>
      <c r="AG68" s="26"/>
      <c r="AH68" s="26"/>
      <c r="AI68" s="26"/>
      <c r="AJ68" s="26"/>
      <c r="AK68" s="26"/>
      <c r="AL68" s="26"/>
      <c r="AM68" s="26"/>
    </row>
  </sheetData>
  <sheetProtection algorithmName="SHA-512" hashValue="SHSNAiLkbELaFmHCz8xZxiSJXBpLxK/gcwXGp0+79ElQ4UjCn5s4TGNOjFq9JwooRMJ6B8PbGgunbbJeqLWdiQ==" saltValue="upQNSzm875EnOL+broMMRA==" spinCount="100000" sheet="1" scenarios="1" insertHyperlinks="0"/>
  <protectedRanges>
    <protectedRange sqref="W15:W21 X8:Y21 Z15:Z21 AA8:AA21 AB15:AB21 AC8:AC21 A22:AD68 R12:S21" name="Range1"/>
    <protectedRange sqref="W15:W21 X8:Y21 Z15:Z21 AA8:AA21 AB15:AB21 AC8:AC21 A22:AD68 U15:U21 R12:S21" name="Bereich2"/>
  </protectedRanges>
  <mergeCells count="26">
    <mergeCell ref="X3:X7"/>
    <mergeCell ref="W3:W7"/>
    <mergeCell ref="V3:V7"/>
    <mergeCell ref="AC3:AC7"/>
    <mergeCell ref="AB3:AB7"/>
    <mergeCell ref="AA3:AA7"/>
    <mergeCell ref="Z3:Z7"/>
    <mergeCell ref="Y3:Y7"/>
    <mergeCell ref="R10:S11"/>
    <mergeCell ref="R12:S12"/>
    <mergeCell ref="A1:S1"/>
    <mergeCell ref="D3:J3"/>
    <mergeCell ref="O3:S3"/>
    <mergeCell ref="A5:S9"/>
    <mergeCell ref="R13:S13"/>
    <mergeCell ref="R14:S14"/>
    <mergeCell ref="R15:S15"/>
    <mergeCell ref="R16:S16"/>
    <mergeCell ref="R17:S17"/>
    <mergeCell ref="R18:S18"/>
    <mergeCell ref="A19:Q19"/>
    <mergeCell ref="A20:Q20"/>
    <mergeCell ref="A21:Q21"/>
    <mergeCell ref="R19:S19"/>
    <mergeCell ref="R20:S20"/>
    <mergeCell ref="R21:S21"/>
  </mergeCells>
  <phoneticPr fontId="2" type="noConversion"/>
  <conditionalFormatting sqref="R12:R21">
    <cfRule type="cellIs" dxfId="441" priority="2" operator="equal">
      <formula>"No"</formula>
    </cfRule>
    <cfRule type="cellIs" dxfId="440" priority="17" operator="equal">
      <formula>"yes"</formula>
    </cfRule>
  </conditionalFormatting>
  <conditionalFormatting sqref="R12:S21">
    <cfRule type="cellIs" dxfId="439" priority="1" operator="equal">
      <formula>"N/A"</formula>
    </cfRule>
  </conditionalFormatting>
  <dataValidations count="2">
    <dataValidation type="list" allowBlank="1" showInputMessage="1" showErrorMessage="1" sqref="R12:R18" xr:uid="{59BE002B-AD91-47BF-B199-43D32B5BBF7A}">
      <formula1>"No,Yes"</formula1>
    </dataValidation>
    <dataValidation type="list" allowBlank="1" showInputMessage="1" showErrorMessage="1" sqref="R19:S21"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topLeftCell="A18" workbookViewId="0">
      <selection activeCell="D28" sqref="D28"/>
    </sheetView>
  </sheetViews>
  <sheetFormatPr baseColWidth="10" defaultColWidth="11.46484375" defaultRowHeight="12.75"/>
  <cols>
    <col min="1" max="1" width="19.46484375" style="131" customWidth="1"/>
    <col min="2" max="2" width="109.33203125" style="131" customWidth="1"/>
  </cols>
  <sheetData>
    <row r="1" spans="1:2" ht="12.75" customHeight="1">
      <c r="A1" s="1170" t="s">
        <v>169</v>
      </c>
      <c r="B1" s="1170"/>
    </row>
    <row r="2" spans="1:2" ht="13.15">
      <c r="A2" s="379" t="s">
        <v>170</v>
      </c>
      <c r="B2" s="80"/>
    </row>
    <row r="3" spans="1:2" ht="13.15">
      <c r="A3" s="132" t="s">
        <v>171</v>
      </c>
      <c r="B3" s="41" t="s">
        <v>172</v>
      </c>
    </row>
    <row r="4" spans="1:2">
      <c r="A4" s="384"/>
    </row>
    <row r="6" spans="1:2">
      <c r="A6" s="385"/>
      <c r="B6" s="385" t="s">
        <v>1025</v>
      </c>
    </row>
    <row r="7" spans="1:2">
      <c r="B7" s="131" t="s">
        <v>1026</v>
      </c>
    </row>
    <row r="9" spans="1:2">
      <c r="A9" s="385"/>
      <c r="B9" s="385"/>
    </row>
    <row r="10" spans="1:2">
      <c r="B10" s="385"/>
    </row>
    <row r="19" spans="1:2">
      <c r="B19" s="385"/>
    </row>
    <row r="28" spans="1:2">
      <c r="A28" s="254"/>
    </row>
    <row r="29" spans="1:2">
      <c r="A29" s="385"/>
      <c r="B29" s="385"/>
    </row>
    <row r="30" spans="1:2">
      <c r="A30" s="385"/>
      <c r="B30" s="385"/>
    </row>
    <row r="32" spans="1:2">
      <c r="A32" s="385"/>
      <c r="B32" s="385"/>
    </row>
    <row r="36" spans="1:2">
      <c r="B36" s="385"/>
    </row>
    <row r="37" spans="1:2">
      <c r="B37" s="385"/>
    </row>
    <row r="46" spans="1:2">
      <c r="A46" s="254"/>
    </row>
  </sheetData>
  <sheetProtection algorithmName="SHA-512" hashValue="QN/n9ZNO8So6q5eBh3evLA7X1KbSqi1h0YSr0AnnNmDXptJmHuiJUBaZbXD2vR8xDdEGkFPNzM1kZQaaL8dWLg==" saltValue="fSv2sVwJVmb98VjUzQmi4A==" spinCount="100000" sheet="1" scenarios="1" insertHyperlinks="0"/>
  <protectedRanges>
    <protectedRange sqref="A4:A1048576 B6: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9999FF"/>
    <pageSetUpPr fitToPage="1"/>
  </sheetPr>
  <dimension ref="B1:S33"/>
  <sheetViews>
    <sheetView showGridLines="0" view="pageBreakPreview" zoomScaleNormal="100" zoomScaleSheetLayoutView="100" workbookViewId="0">
      <selection activeCell="G6" sqref="G6"/>
    </sheetView>
  </sheetViews>
  <sheetFormatPr baseColWidth="10" defaultColWidth="11.46484375" defaultRowHeight="12.75"/>
  <cols>
    <col min="1" max="1" width="3.33203125" customWidth="1"/>
    <col min="2" max="2" width="24.6640625" customWidth="1"/>
    <col min="3" max="3" width="10.132812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649999999999999">
      <c r="B1" s="47" t="s">
        <v>173</v>
      </c>
    </row>
    <row r="3" spans="2:19" ht="13.15">
      <c r="B3" s="42" t="s">
        <v>174</v>
      </c>
      <c r="C3" s="48" t="s">
        <v>175</v>
      </c>
      <c r="D3" s="48" t="s">
        <v>176</v>
      </c>
      <c r="E3" s="48" t="s">
        <v>177</v>
      </c>
      <c r="F3" s="48" t="s">
        <v>178</v>
      </c>
      <c r="G3" s="48" t="s">
        <v>179</v>
      </c>
      <c r="H3" s="48" t="s">
        <v>180</v>
      </c>
      <c r="I3" s="48" t="s">
        <v>181</v>
      </c>
      <c r="J3" s="48" t="s">
        <v>182</v>
      </c>
      <c r="K3" s="48" t="s">
        <v>183</v>
      </c>
      <c r="L3" s="48" t="s">
        <v>184</v>
      </c>
      <c r="M3" s="48" t="s">
        <v>185</v>
      </c>
      <c r="N3" s="48" t="s">
        <v>186</v>
      </c>
      <c r="O3" s="48" t="s">
        <v>187</v>
      </c>
      <c r="P3" s="48" t="s">
        <v>188</v>
      </c>
      <c r="Q3" s="48" t="s">
        <v>189</v>
      </c>
      <c r="R3" s="364" t="s">
        <v>190</v>
      </c>
      <c r="S3" s="3"/>
    </row>
    <row r="4" spans="2:19">
      <c r="B4" s="362" t="s">
        <v>191</v>
      </c>
      <c r="C4" s="589" t="s">
        <v>175</v>
      </c>
      <c r="D4" s="589" t="s">
        <v>176</v>
      </c>
      <c r="E4" s="589" t="s">
        <v>177</v>
      </c>
      <c r="F4" s="256" t="s">
        <v>192</v>
      </c>
      <c r="G4" s="257" t="s">
        <v>148</v>
      </c>
      <c r="H4" s="291" t="s">
        <v>147</v>
      </c>
      <c r="I4" s="537" t="s">
        <v>1014</v>
      </c>
      <c r="J4" s="537"/>
      <c r="K4" s="537"/>
      <c r="L4" s="371"/>
      <c r="M4" s="371"/>
      <c r="N4" s="371"/>
      <c r="O4" s="314"/>
      <c r="P4" s="314"/>
      <c r="Q4" s="314"/>
      <c r="R4" s="365"/>
      <c r="S4" s="367"/>
    </row>
    <row r="5" spans="2:19">
      <c r="B5" s="42" t="s">
        <v>193</v>
      </c>
      <c r="C5" s="589"/>
      <c r="D5" s="589"/>
      <c r="E5" s="589"/>
      <c r="F5" s="296"/>
      <c r="G5" s="535"/>
      <c r="H5" s="536"/>
      <c r="I5" s="595" t="s">
        <v>1015</v>
      </c>
      <c r="J5" s="305"/>
      <c r="K5" s="306"/>
      <c r="L5" s="596"/>
      <c r="M5" s="297"/>
      <c r="N5" s="297"/>
      <c r="O5" s="597"/>
      <c r="P5" s="597"/>
      <c r="Q5" s="597"/>
      <c r="R5" s="598"/>
      <c r="S5" s="599"/>
    </row>
    <row r="6" spans="2:19">
      <c r="B6" s="362" t="s">
        <v>194</v>
      </c>
      <c r="C6" s="36">
        <v>200000000000</v>
      </c>
      <c r="D6" s="18">
        <v>70000000000</v>
      </c>
      <c r="E6" s="18">
        <v>70000000000</v>
      </c>
      <c r="F6" s="36">
        <f>'T3.5 Laminate Test'!C63*1000000000</f>
        <v>0</v>
      </c>
      <c r="G6" s="144">
        <f>'T3.5 FBHS'!C59*1000000000</f>
        <v>0</v>
      </c>
      <c r="H6" s="144">
        <f>'T3.5 FBH'!C59*1000000000</f>
        <v>0</v>
      </c>
      <c r="I6" s="18">
        <v>210000000000</v>
      </c>
      <c r="J6" s="18"/>
      <c r="K6" s="18"/>
      <c r="L6" s="18"/>
      <c r="M6" s="18"/>
      <c r="N6" s="18"/>
      <c r="O6" s="18"/>
      <c r="P6" s="18"/>
      <c r="Q6" s="18"/>
      <c r="R6" s="366"/>
      <c r="S6" s="120"/>
    </row>
    <row r="7" spans="2:19">
      <c r="B7" s="42" t="s">
        <v>195</v>
      </c>
      <c r="C7" s="36">
        <v>305000000</v>
      </c>
      <c r="D7" s="18">
        <v>1</v>
      </c>
      <c r="E7" s="18">
        <v>2</v>
      </c>
      <c r="F7" s="36" t="e">
        <f>F8</f>
        <v>#DIV/0!</v>
      </c>
      <c r="G7" s="144" t="e">
        <f>G8</f>
        <v>#DIV/0!</v>
      </c>
      <c r="H7" s="144" t="e">
        <f>H8</f>
        <v>#DIV/0!</v>
      </c>
      <c r="I7" s="600">
        <v>781000000</v>
      </c>
      <c r="J7" s="18"/>
      <c r="K7" s="18"/>
      <c r="L7" s="18"/>
      <c r="M7" s="18"/>
      <c r="N7" s="18"/>
      <c r="O7" s="18"/>
      <c r="P7" s="18"/>
      <c r="Q7" s="18"/>
      <c r="R7" s="366"/>
      <c r="S7" s="120"/>
    </row>
    <row r="8" spans="2:19">
      <c r="B8" s="42" t="s">
        <v>196</v>
      </c>
      <c r="C8" s="36">
        <v>365000000</v>
      </c>
      <c r="D8" s="18">
        <v>1</v>
      </c>
      <c r="E8" s="18">
        <v>2</v>
      </c>
      <c r="F8" s="36" t="e">
        <f>'T3.5 Laminate Test'!C64*1000000</f>
        <v>#DIV/0!</v>
      </c>
      <c r="G8" s="144" t="e">
        <f>'T3.5 FBHS'!C60*1000000</f>
        <v>#DIV/0!</v>
      </c>
      <c r="H8" s="144" t="e">
        <f>'T3.5 FBH'!C60*1000000</f>
        <v>#DIV/0!</v>
      </c>
      <c r="I8" s="18">
        <v>884000000</v>
      </c>
      <c r="J8" s="18"/>
      <c r="K8" s="18"/>
      <c r="L8" s="18"/>
      <c r="M8" s="18"/>
      <c r="N8" s="18"/>
      <c r="O8" s="18"/>
      <c r="P8" s="18"/>
      <c r="Q8" s="18"/>
      <c r="R8" s="366"/>
      <c r="S8" s="120"/>
    </row>
    <row r="9" spans="2:19">
      <c r="B9" s="42" t="s">
        <v>197</v>
      </c>
      <c r="C9" s="36">
        <v>180000000</v>
      </c>
      <c r="D9" s="18">
        <v>1</v>
      </c>
      <c r="E9" s="18">
        <v>2</v>
      </c>
      <c r="F9" s="588" t="s">
        <v>111</v>
      </c>
      <c r="G9" s="601" t="s">
        <v>111</v>
      </c>
      <c r="H9" s="601" t="s">
        <v>111</v>
      </c>
      <c r="I9" s="601" t="s">
        <v>111</v>
      </c>
      <c r="J9" s="601" t="s">
        <v>111</v>
      </c>
      <c r="K9" s="601" t="s">
        <v>111</v>
      </c>
      <c r="L9" s="601" t="s">
        <v>111</v>
      </c>
      <c r="M9" s="601" t="s">
        <v>111</v>
      </c>
      <c r="N9" s="601" t="s">
        <v>111</v>
      </c>
      <c r="O9" s="601" t="s">
        <v>111</v>
      </c>
      <c r="P9" s="601" t="s">
        <v>111</v>
      </c>
      <c r="Q9" s="601" t="s">
        <v>111</v>
      </c>
      <c r="R9" s="602" t="s">
        <v>111</v>
      </c>
      <c r="S9" s="603"/>
    </row>
    <row r="10" spans="2:19">
      <c r="B10" s="42" t="s">
        <v>198</v>
      </c>
      <c r="C10" s="36">
        <v>300000000</v>
      </c>
      <c r="D10" s="18">
        <v>1</v>
      </c>
      <c r="E10" s="18">
        <v>2</v>
      </c>
      <c r="F10" s="49" t="s">
        <v>111</v>
      </c>
      <c r="G10" s="601" t="s">
        <v>111</v>
      </c>
      <c r="H10" s="601" t="s">
        <v>111</v>
      </c>
      <c r="I10" s="601" t="s">
        <v>111</v>
      </c>
      <c r="J10" s="601" t="s">
        <v>111</v>
      </c>
      <c r="K10" s="601" t="s">
        <v>111</v>
      </c>
      <c r="L10" s="601" t="s">
        <v>111</v>
      </c>
      <c r="M10" s="601" t="s">
        <v>111</v>
      </c>
      <c r="N10" s="601" t="s">
        <v>111</v>
      </c>
      <c r="O10" s="601" t="s">
        <v>111</v>
      </c>
      <c r="P10" s="601" t="s">
        <v>111</v>
      </c>
      <c r="Q10" s="601" t="s">
        <v>111</v>
      </c>
      <c r="R10" s="602" t="s">
        <v>111</v>
      </c>
      <c r="S10" s="603"/>
    </row>
    <row r="11" spans="2:19">
      <c r="B11" s="362" t="s">
        <v>199</v>
      </c>
      <c r="C11" s="36">
        <f>0.6*C8</f>
        <v>219000000</v>
      </c>
      <c r="D11" s="18">
        <v>1</v>
      </c>
      <c r="E11" s="18">
        <v>2</v>
      </c>
      <c r="F11" s="292">
        <f>'T3.5.9 Shear Tests'!W54*1000000</f>
        <v>0</v>
      </c>
      <c r="G11" s="292">
        <f>'T3.5.9 Shear Tests'!D54*1000000</f>
        <v>0</v>
      </c>
      <c r="H11" s="292">
        <f>'Other 1 Matt´l Shear'!D53*1000000</f>
        <v>0</v>
      </c>
      <c r="I11" s="18">
        <v>219000000</v>
      </c>
      <c r="J11" s="18"/>
      <c r="K11" s="18"/>
      <c r="L11" s="18"/>
      <c r="M11" s="18"/>
      <c r="N11" s="18"/>
      <c r="O11" s="18"/>
      <c r="P11" s="18"/>
      <c r="Q11" s="18"/>
      <c r="R11" s="366"/>
      <c r="S11" s="120"/>
    </row>
    <row r="13" spans="2:19">
      <c r="C13" s="514" t="s">
        <v>200</v>
      </c>
    </row>
    <row r="14" spans="2:19">
      <c r="C14" s="514" t="s">
        <v>201</v>
      </c>
    </row>
    <row r="15" spans="2:19">
      <c r="B15" s="514"/>
      <c r="C15" s="514" t="s">
        <v>202</v>
      </c>
    </row>
    <row r="16" spans="2:19">
      <c r="C16" s="514" t="s">
        <v>203</v>
      </c>
    </row>
    <row r="17" spans="2:9">
      <c r="C17" s="514"/>
    </row>
    <row r="18" spans="2:9">
      <c r="C18" s="514"/>
    </row>
    <row r="19" spans="2:9">
      <c r="C19" s="514"/>
    </row>
    <row r="20" spans="2:9" ht="13.15">
      <c r="B20" s="514"/>
      <c r="C20" s="222"/>
      <c r="D20" s="222"/>
      <c r="E20" s="222"/>
      <c r="F20" s="222"/>
      <c r="G20" s="3" t="s">
        <v>204</v>
      </c>
      <c r="H20" s="604"/>
    </row>
    <row r="21" spans="2:9">
      <c r="B21" s="514"/>
      <c r="D21" s="1171"/>
      <c r="E21" s="1171"/>
      <c r="F21" s="1171"/>
      <c r="G21" s="1171"/>
      <c r="H21" s="514" t="s">
        <v>205</v>
      </c>
    </row>
    <row r="22" spans="2:9">
      <c r="B22" s="514"/>
      <c r="C22" s="222"/>
      <c r="D22" s="222"/>
      <c r="E22" s="222"/>
      <c r="F22" s="222"/>
      <c r="G22" s="222"/>
      <c r="H22" s="514" t="s">
        <v>206</v>
      </c>
      <c r="I22" s="220"/>
    </row>
    <row r="23" spans="2:9">
      <c r="B23" s="806" t="s">
        <v>207</v>
      </c>
      <c r="C23" s="222"/>
      <c r="D23" s="222"/>
      <c r="E23" s="222"/>
      <c r="F23" s="222"/>
      <c r="G23" s="222"/>
      <c r="H23" s="514" t="s">
        <v>208</v>
      </c>
      <c r="I23" s="145"/>
    </row>
    <row r="24" spans="2:9">
      <c r="B24" s="806" t="s">
        <v>209</v>
      </c>
      <c r="C24" s="222"/>
      <c r="D24" s="222"/>
      <c r="E24" s="222"/>
      <c r="F24" s="222"/>
      <c r="G24" s="222"/>
      <c r="H24" s="514" t="s">
        <v>210</v>
      </c>
      <c r="I24" s="145"/>
    </row>
    <row r="25" spans="2:9">
      <c r="B25" s="806" t="s">
        <v>211</v>
      </c>
      <c r="C25" s="222"/>
      <c r="D25" s="222"/>
      <c r="E25" s="604"/>
      <c r="F25" s="222"/>
      <c r="G25" s="222"/>
      <c r="H25" s="514" t="s">
        <v>212</v>
      </c>
      <c r="I25" s="145"/>
    </row>
    <row r="26" spans="2:9">
      <c r="B26" s="806"/>
      <c r="C26" s="222"/>
      <c r="D26" s="222"/>
      <c r="E26" s="223"/>
      <c r="F26" s="223"/>
      <c r="G26" s="223"/>
      <c r="H26" s="514" t="s">
        <v>213</v>
      </c>
      <c r="I26" s="162"/>
    </row>
    <row r="27" spans="2:9">
      <c r="B27" s="806" t="s">
        <v>214</v>
      </c>
      <c r="C27" s="222"/>
      <c r="D27" s="222"/>
      <c r="E27" s="223"/>
      <c r="F27" s="223"/>
      <c r="G27" s="223"/>
      <c r="H27" s="514" t="s">
        <v>215</v>
      </c>
    </row>
    <row r="28" spans="2:9">
      <c r="B28" s="806" t="s">
        <v>216</v>
      </c>
      <c r="C28" s="222"/>
      <c r="D28" s="223"/>
      <c r="E28" s="223"/>
      <c r="F28" s="223"/>
      <c r="G28" s="223"/>
    </row>
    <row r="29" spans="2:9">
      <c r="B29" s="514"/>
      <c r="C29" s="222"/>
      <c r="D29" s="223"/>
      <c r="E29" s="223"/>
      <c r="F29" s="223"/>
      <c r="G29" s="223"/>
    </row>
    <row r="30" spans="2:9">
      <c r="C30" s="222"/>
      <c r="D30" s="223"/>
      <c r="E30" s="223"/>
      <c r="F30" s="223"/>
      <c r="G30" s="223"/>
    </row>
    <row r="31" spans="2:9">
      <c r="C31" s="222"/>
      <c r="D31" s="223"/>
      <c r="E31" s="223"/>
      <c r="F31" s="223"/>
      <c r="G31" s="223"/>
    </row>
    <row r="32" spans="2:9">
      <c r="C32" s="222"/>
      <c r="D32" s="223"/>
      <c r="E32" s="223"/>
      <c r="F32" s="223"/>
      <c r="G32" s="223"/>
    </row>
    <row r="33" spans="3:7">
      <c r="C33" s="222"/>
      <c r="D33" s="223"/>
      <c r="E33" s="223"/>
      <c r="F33" s="223"/>
      <c r="G33" s="223"/>
    </row>
  </sheetData>
  <sheetProtection algorithmName="SHA-512" hashValue="OqrdzytDkFgDlVsNTTc0Z/QcIhqMM7b/v38rrIrc4DexIIOni7LLGYgUjdCFU8zLyyb2h5Kgi5urWt4EMFh6Kg==" saltValue="nkJq083KzM5qfkGS78vuMw==" spinCount="100000" sheet="1" scenarios="1" insertHyperlinks="0"/>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7" zoomScaleNormal="100" zoomScaleSheetLayoutView="100" workbookViewId="0">
      <selection activeCell="S57" sqref="S57"/>
    </sheetView>
  </sheetViews>
  <sheetFormatPr baseColWidth="10" defaultColWidth="11.46484375" defaultRowHeight="12.75"/>
  <cols>
    <col min="1" max="38" width="5" customWidth="1"/>
  </cols>
  <sheetData>
    <row r="1" spans="1:41" ht="13.15">
      <c r="A1" s="1194" t="s">
        <v>217</v>
      </c>
      <c r="B1" s="1195"/>
      <c r="C1" s="1195"/>
      <c r="D1" s="1195"/>
      <c r="E1" s="1195"/>
      <c r="F1" s="1195"/>
      <c r="G1" s="1195"/>
      <c r="H1" s="1195"/>
      <c r="I1" s="1195"/>
      <c r="J1" s="1195"/>
      <c r="K1" s="1195"/>
      <c r="L1" s="1195"/>
      <c r="M1" s="1195"/>
      <c r="N1" s="1195"/>
      <c r="O1" s="1195"/>
      <c r="P1" s="1195"/>
      <c r="Q1" s="1195"/>
      <c r="R1" s="1195"/>
      <c r="S1" s="1196"/>
      <c r="T1" s="1194" t="s">
        <v>218</v>
      </c>
      <c r="U1" s="1195"/>
      <c r="V1" s="1195"/>
      <c r="W1" s="1195"/>
      <c r="X1" s="1195"/>
      <c r="Y1" s="1195"/>
      <c r="Z1" s="1195"/>
      <c r="AA1" s="1195"/>
      <c r="AB1" s="1195"/>
      <c r="AC1" s="1195"/>
      <c r="AD1" s="1195"/>
      <c r="AE1" s="1195"/>
      <c r="AF1" s="1195"/>
      <c r="AG1" s="1195"/>
      <c r="AH1" s="1195"/>
      <c r="AI1" s="1195"/>
      <c r="AJ1" s="1195"/>
      <c r="AK1" s="1195"/>
      <c r="AL1" s="1196"/>
    </row>
    <row r="2" spans="1:41">
      <c r="A2" s="610"/>
      <c r="S2" s="15"/>
      <c r="T2" s="4"/>
      <c r="AL2" s="15"/>
      <c r="AM2" s="162" t="s">
        <v>219</v>
      </c>
      <c r="AN2" s="162"/>
      <c r="AO2" s="162"/>
    </row>
    <row r="3" spans="1:41">
      <c r="A3" t="s">
        <v>39</v>
      </c>
      <c r="D3" s="1157" t="str">
        <f>IF('Cover Sheet'!$D$14&gt;0,'Cover Sheet'!$D$14,"")</f>
        <v>Ecole Centrale Lyon</v>
      </c>
      <c r="E3" s="1157"/>
      <c r="F3" s="1157"/>
      <c r="G3" s="1157"/>
      <c r="H3" s="1157"/>
      <c r="I3" s="1157"/>
      <c r="J3" s="1157"/>
      <c r="K3" t="s">
        <v>40</v>
      </c>
      <c r="O3" s="1157" t="str">
        <f>IF('Cover Sheet'!$O$14&gt;0,'Cover Sheet'!$O$14,"")</f>
        <v>81 FSCH</v>
      </c>
      <c r="P3" s="1157"/>
      <c r="Q3" s="1157"/>
      <c r="R3" s="1157"/>
      <c r="S3" s="1157"/>
      <c r="T3" t="s">
        <v>39</v>
      </c>
      <c r="W3" s="1157" t="str">
        <f>IF('Cover Sheet'!$D$14&gt;0,'Cover Sheet'!$D$14,"")</f>
        <v>Ecole Centrale Lyon</v>
      </c>
      <c r="X3" s="1157"/>
      <c r="Y3" s="1157"/>
      <c r="Z3" s="1157"/>
      <c r="AA3" s="1157"/>
      <c r="AB3" s="1157"/>
      <c r="AC3" s="1157"/>
      <c r="AD3" t="s">
        <v>40</v>
      </c>
      <c r="AH3" s="1157" t="str">
        <f>IF('Cover Sheet'!$O$14&gt;0,'Cover Sheet'!$O$14,"")</f>
        <v>81 FSCH</v>
      </c>
      <c r="AI3" s="1157"/>
      <c r="AJ3" s="1157"/>
      <c r="AK3" s="1157"/>
      <c r="AL3" s="1157"/>
    </row>
    <row r="4" spans="1:41">
      <c r="A4" s="4"/>
      <c r="S4" s="15"/>
      <c r="T4" s="4"/>
      <c r="AL4" s="15"/>
    </row>
    <row r="5" spans="1:41" ht="12.75" customHeight="1">
      <c r="A5" s="1200"/>
      <c r="B5" s="1201"/>
      <c r="C5" s="1201"/>
      <c r="D5" s="1201"/>
      <c r="E5" s="1201"/>
      <c r="F5" s="1201"/>
      <c r="G5" s="1201"/>
      <c r="H5" s="1201"/>
      <c r="I5" s="1201"/>
      <c r="J5" s="1201"/>
      <c r="K5" s="1201"/>
      <c r="L5" s="1201"/>
      <c r="M5" s="1201"/>
      <c r="N5" s="1201"/>
      <c r="O5" s="1201"/>
      <c r="P5" s="1201"/>
      <c r="Q5" s="1201"/>
      <c r="R5" s="1201"/>
      <c r="S5" s="1202"/>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388" t="s">
        <v>220</v>
      </c>
      <c r="C7" s="28"/>
      <c r="D7" s="23"/>
      <c r="E7" s="23"/>
      <c r="F7" s="23"/>
      <c r="G7" s="23"/>
      <c r="H7" s="23"/>
      <c r="I7" s="23"/>
      <c r="J7" s="23"/>
      <c r="K7" s="23"/>
      <c r="L7" s="23"/>
      <c r="M7" s="23"/>
      <c r="N7" s="23"/>
      <c r="O7" s="23"/>
      <c r="P7" s="23"/>
      <c r="Q7" s="23"/>
      <c r="R7" s="23"/>
      <c r="S7" s="24"/>
      <c r="T7" s="25"/>
      <c r="U7" s="388" t="s">
        <v>220</v>
      </c>
      <c r="V7" s="26"/>
      <c r="W7" s="26"/>
      <c r="X7" s="26"/>
      <c r="Y7" s="26"/>
      <c r="Z7" s="26"/>
      <c r="AA7" s="26"/>
      <c r="AB7" s="26"/>
      <c r="AC7" s="26"/>
      <c r="AD7" s="26"/>
      <c r="AE7" s="26"/>
      <c r="AF7" s="26"/>
      <c r="AG7" s="26"/>
      <c r="AH7" s="26"/>
      <c r="AI7" s="26"/>
      <c r="AJ7" s="26"/>
      <c r="AK7" s="26"/>
      <c r="AL7" s="27"/>
    </row>
    <row r="8" spans="1:41">
      <c r="A8" s="22"/>
      <c r="B8" s="252"/>
      <c r="C8" s="23"/>
      <c r="D8" s="23"/>
      <c r="E8" s="23"/>
      <c r="F8" s="23"/>
      <c r="G8" s="23"/>
      <c r="H8" s="23"/>
      <c r="I8" s="23"/>
      <c r="J8" s="23"/>
      <c r="K8" s="23"/>
      <c r="L8" s="23"/>
      <c r="M8" s="23"/>
      <c r="N8" s="23"/>
      <c r="O8" s="23"/>
      <c r="P8" s="23"/>
      <c r="Q8" s="23"/>
      <c r="R8" s="23"/>
      <c r="S8" s="24"/>
      <c r="T8" s="25"/>
      <c r="U8" s="252"/>
      <c r="V8" s="26"/>
      <c r="W8" s="26"/>
      <c r="X8" s="26"/>
      <c r="Y8" s="26"/>
      <c r="Z8" s="26"/>
      <c r="AA8" s="26"/>
      <c r="AB8" s="26"/>
      <c r="AC8" s="26"/>
      <c r="AD8" s="26"/>
      <c r="AE8" s="26"/>
      <c r="AF8" s="26"/>
      <c r="AG8" s="26"/>
      <c r="AH8" s="26"/>
      <c r="AI8" s="26"/>
      <c r="AJ8" s="26"/>
      <c r="AK8" s="26"/>
      <c r="AL8" s="27"/>
    </row>
    <row r="9" spans="1:41">
      <c r="A9" s="22"/>
      <c r="B9" s="388" t="s">
        <v>221</v>
      </c>
      <c r="C9" s="28"/>
      <c r="D9" s="23"/>
      <c r="E9" s="23"/>
      <c r="F9" s="26"/>
      <c r="G9" s="26"/>
      <c r="H9" s="23"/>
      <c r="I9" s="23"/>
      <c r="J9" s="23"/>
      <c r="K9" s="23"/>
      <c r="L9" s="23"/>
      <c r="M9" s="23"/>
      <c r="N9" s="23"/>
      <c r="O9" s="23"/>
      <c r="P9" s="23"/>
      <c r="Q9" s="23"/>
      <c r="R9" s="23"/>
      <c r="S9" s="24"/>
      <c r="T9" s="25"/>
      <c r="U9" s="388" t="s">
        <v>221</v>
      </c>
      <c r="V9" s="26"/>
      <c r="W9" s="26"/>
      <c r="X9" s="26"/>
      <c r="Y9" s="26"/>
      <c r="Z9" s="26"/>
      <c r="AA9" s="26"/>
      <c r="AB9" s="26"/>
      <c r="AC9" s="26"/>
      <c r="AD9" s="26"/>
      <c r="AE9" s="26"/>
      <c r="AF9" s="26"/>
      <c r="AG9" s="26"/>
      <c r="AH9" s="26"/>
      <c r="AI9" s="26"/>
      <c r="AJ9" s="26"/>
      <c r="AK9" s="26"/>
      <c r="AL9" s="27"/>
    </row>
    <row r="10" spans="1:41">
      <c r="A10" s="22"/>
      <c r="B10" s="252"/>
      <c r="C10" s="23"/>
      <c r="D10" s="23"/>
      <c r="E10" s="23"/>
      <c r="F10" s="375"/>
      <c r="G10" s="375"/>
      <c r="H10" s="375"/>
      <c r="I10" s="375"/>
      <c r="J10" s="375"/>
      <c r="K10" s="23"/>
      <c r="L10" s="23"/>
      <c r="M10" s="23"/>
      <c r="N10" s="23"/>
      <c r="O10" s="23"/>
      <c r="P10" s="23"/>
      <c r="Q10" s="23"/>
      <c r="R10" s="23"/>
      <c r="S10" s="24"/>
      <c r="T10" s="25"/>
      <c r="U10" s="252"/>
      <c r="V10" s="26"/>
      <c r="W10" s="26"/>
      <c r="X10" s="26"/>
      <c r="Y10" s="26"/>
      <c r="Z10" s="26"/>
      <c r="AA10" s="26"/>
      <c r="AB10" s="26"/>
      <c r="AC10" s="26"/>
      <c r="AD10" s="26"/>
      <c r="AE10" s="26"/>
      <c r="AF10" s="26"/>
      <c r="AG10" s="26"/>
      <c r="AH10" s="26"/>
      <c r="AI10" s="26"/>
      <c r="AJ10" s="26"/>
      <c r="AK10" s="26"/>
      <c r="AL10" s="27"/>
    </row>
    <row r="11" spans="1:41">
      <c r="A11" s="22"/>
      <c r="B11" s="388" t="s">
        <v>222</v>
      </c>
      <c r="C11" s="28"/>
      <c r="D11" s="23"/>
      <c r="E11" s="23"/>
      <c r="F11" s="375"/>
      <c r="G11" s="318"/>
      <c r="H11" s="375"/>
      <c r="I11" s="375"/>
      <c r="J11" s="375"/>
      <c r="K11" s="23"/>
      <c r="L11" s="23"/>
      <c r="M11" s="23"/>
      <c r="N11" s="23"/>
      <c r="O11" s="23"/>
      <c r="P11" s="23"/>
      <c r="Q11" s="23"/>
      <c r="R11" s="23"/>
      <c r="S11" s="24"/>
      <c r="T11" s="25"/>
      <c r="U11" s="388" t="s">
        <v>222</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75"/>
      <c r="G12" s="318"/>
      <c r="H12" s="375"/>
      <c r="I12" s="375"/>
      <c r="J12" s="375"/>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75"/>
      <c r="G13" s="318"/>
      <c r="H13" s="375"/>
      <c r="I13" s="375"/>
      <c r="J13" s="375"/>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75"/>
      <c r="G14" s="375"/>
      <c r="H14" s="375"/>
      <c r="I14" s="375"/>
      <c r="J14" s="375"/>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223</v>
      </c>
      <c r="B19" s="6"/>
      <c r="C19" s="6"/>
      <c r="D19" s="6"/>
      <c r="E19" s="6"/>
      <c r="F19" s="6"/>
      <c r="G19" s="6"/>
      <c r="H19" s="6"/>
      <c r="I19" s="6"/>
      <c r="J19" s="6"/>
      <c r="K19" s="6"/>
      <c r="L19" s="6"/>
      <c r="M19" s="6"/>
      <c r="N19" s="6"/>
      <c r="O19" s="6"/>
      <c r="P19" s="6"/>
      <c r="Q19" s="6"/>
      <c r="R19" s="6"/>
      <c r="S19" s="7"/>
      <c r="T19" s="9" t="s">
        <v>224</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8"/>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ht="12.75" customHeight="1">
      <c r="A25" s="25"/>
      <c r="B25" s="388" t="s">
        <v>226</v>
      </c>
      <c r="C25" s="28"/>
      <c r="D25" s="26"/>
      <c r="E25" s="26"/>
      <c r="F25" s="611"/>
      <c r="G25" s="26"/>
      <c r="H25" s="26"/>
      <c r="I25" s="26"/>
      <c r="J25" s="26"/>
      <c r="K25" s="26"/>
      <c r="L25" s="26"/>
      <c r="M25" s="26"/>
      <c r="N25" s="26"/>
      <c r="O25" s="26"/>
      <c r="P25" s="26"/>
      <c r="Q25" s="26"/>
      <c r="R25" s="26"/>
      <c r="S25" s="27"/>
      <c r="T25" s="25"/>
      <c r="U25" s="388" t="s">
        <v>226</v>
      </c>
      <c r="V25" s="26"/>
      <c r="W25" s="374"/>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374"/>
      <c r="X26" s="26"/>
      <c r="Y26" s="26"/>
      <c r="Z26" s="26"/>
      <c r="AA26" s="26"/>
      <c r="AB26" s="26"/>
      <c r="AC26" s="26"/>
      <c r="AD26" s="26"/>
      <c r="AE26" s="26"/>
      <c r="AF26" s="26"/>
      <c r="AG26" s="26"/>
      <c r="AH26" s="26"/>
      <c r="AI26" s="26"/>
      <c r="AJ26" s="26"/>
      <c r="AK26" s="26"/>
      <c r="AL26" s="27"/>
    </row>
    <row r="27" spans="1:38">
      <c r="A27" s="25"/>
      <c r="B27" s="388" t="s">
        <v>227</v>
      </c>
      <c r="C27" s="28"/>
      <c r="D27" s="26"/>
      <c r="E27" s="26"/>
      <c r="F27" s="374"/>
      <c r="G27" s="26"/>
      <c r="H27" s="26"/>
      <c r="I27" s="26"/>
      <c r="J27" s="26"/>
      <c r="K27" s="26"/>
      <c r="L27" s="26"/>
      <c r="M27" s="26"/>
      <c r="N27" s="26"/>
      <c r="O27" s="26"/>
      <c r="P27" s="26"/>
      <c r="Q27" s="26"/>
      <c r="R27" s="26"/>
      <c r="S27" s="27"/>
      <c r="T27" s="25"/>
      <c r="U27" s="388" t="s">
        <v>227</v>
      </c>
      <c r="V27" s="26"/>
      <c r="W27" s="374"/>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318"/>
      <c r="F29" s="318"/>
      <c r="G29" s="318"/>
      <c r="H29" s="318"/>
      <c r="I29" s="318"/>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318"/>
      <c r="F30" s="318"/>
      <c r="G30" s="318"/>
      <c r="H30" s="318"/>
      <c r="I30" s="318"/>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318"/>
      <c r="F31" s="318"/>
      <c r="G31" s="318"/>
      <c r="H31" s="318"/>
      <c r="I31" s="318"/>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18"/>
      <c r="F32" s="318"/>
      <c r="G32" s="318"/>
      <c r="H32" s="318"/>
      <c r="I32" s="318"/>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18"/>
      <c r="F33" s="318"/>
      <c r="G33" s="318"/>
      <c r="H33" s="318"/>
      <c r="I33" s="318"/>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18"/>
      <c r="F34" s="318"/>
      <c r="G34" s="318"/>
      <c r="H34" s="318"/>
      <c r="I34" s="318"/>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18"/>
      <c r="F35" s="318"/>
      <c r="G35" s="318"/>
      <c r="H35" s="318"/>
      <c r="I35" s="318"/>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18"/>
      <c r="F36" s="318"/>
      <c r="G36" s="318"/>
      <c r="H36" s="318"/>
      <c r="I36" s="318"/>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74"/>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230</v>
      </c>
      <c r="B43" s="6"/>
      <c r="C43" s="6"/>
      <c r="D43" s="6"/>
      <c r="E43" s="6"/>
      <c r="F43" s="6"/>
      <c r="G43" s="6"/>
      <c r="H43" s="6"/>
      <c r="I43" s="6"/>
      <c r="J43" s="6"/>
      <c r="K43" s="6"/>
      <c r="L43" s="6"/>
      <c r="M43" s="6"/>
      <c r="N43" s="6"/>
      <c r="O43" s="6"/>
      <c r="P43" s="6"/>
      <c r="Q43" s="6"/>
      <c r="R43" s="6"/>
      <c r="S43" s="7"/>
      <c r="T43" s="9" t="s">
        <v>231</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 t="s">
        <v>232</v>
      </c>
      <c r="B45" s="6"/>
      <c r="C45" s="6"/>
      <c r="D45" s="6"/>
      <c r="E45" s="6"/>
      <c r="F45" s="6"/>
      <c r="G45" s="6"/>
      <c r="H45" s="6"/>
      <c r="I45" s="6"/>
      <c r="J45" s="6"/>
      <c r="K45" s="6"/>
      <c r="L45" s="6"/>
      <c r="M45" s="6"/>
      <c r="N45" s="6"/>
      <c r="O45" s="6"/>
      <c r="P45" s="6"/>
      <c r="Q45" s="6"/>
      <c r="R45" s="6"/>
      <c r="S45" s="7"/>
      <c r="T45" s="86" t="s">
        <v>233</v>
      </c>
      <c r="U45" s="8"/>
      <c r="V45" s="8"/>
      <c r="W45" s="8"/>
      <c r="X45" s="8"/>
      <c r="Y45" s="8"/>
      <c r="Z45" s="8"/>
      <c r="AA45" s="8"/>
      <c r="AB45" s="8"/>
      <c r="AC45" s="8"/>
      <c r="AD45" s="8"/>
      <c r="AE45" s="8"/>
      <c r="AF45" s="8"/>
      <c r="AG45" s="8"/>
      <c r="AH45" s="8"/>
      <c r="AI45" s="8"/>
      <c r="AJ45" s="8"/>
      <c r="AK45" s="8"/>
      <c r="AL45" s="85"/>
    </row>
    <row r="46" spans="1:38">
      <c r="A46" s="8" t="s">
        <v>234</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187" t="s">
        <v>235</v>
      </c>
      <c r="B47" s="1186"/>
      <c r="C47" s="1182"/>
      <c r="D47" s="1183"/>
      <c r="E47" s="1186" t="s">
        <v>236</v>
      </c>
      <c r="F47" s="1186"/>
      <c r="G47" s="1182"/>
      <c r="H47" s="1183"/>
      <c r="I47" s="8"/>
      <c r="J47" s="10"/>
      <c r="K47" s="10"/>
      <c r="L47" s="10"/>
      <c r="M47" s="87" t="s">
        <v>237</v>
      </c>
      <c r="N47" s="1205">
        <f>IF(C48&gt;0,(((G48-G47)/(C48-C47))^-1-IF(AG56&gt;0,AG56^-1,0))^-1,0)</f>
        <v>0</v>
      </c>
      <c r="O47" s="1206"/>
      <c r="P47" s="1197">
        <f>2/3*((48*'T3.15 T3.5 SIS'!C27/0.000013)/(C57^3))</f>
        <v>196.3827341538462</v>
      </c>
      <c r="Q47" s="1198"/>
      <c r="R47" s="1198"/>
      <c r="S47" s="11"/>
      <c r="T47" s="1187" t="s">
        <v>235</v>
      </c>
      <c r="U47" s="1186"/>
      <c r="V47" s="1184"/>
      <c r="W47" s="1185"/>
      <c r="X47" s="1186" t="s">
        <v>236</v>
      </c>
      <c r="Y47" s="1186"/>
      <c r="Z47" s="1182"/>
      <c r="AA47" s="1183"/>
      <c r="AB47" s="8"/>
      <c r="AC47" s="10"/>
      <c r="AD47" s="10"/>
      <c r="AE47" s="10"/>
      <c r="AF47" s="87" t="s">
        <v>237</v>
      </c>
      <c r="AG47" s="1190">
        <f>IF((V48-V47)&gt;0,(Z48-Z47)/(V48-V47),0)</f>
        <v>0</v>
      </c>
      <c r="AH47" s="1191"/>
      <c r="AI47" s="10"/>
      <c r="AJ47" s="10"/>
      <c r="AK47" s="10"/>
      <c r="AL47" s="11"/>
    </row>
    <row r="48" spans="1:38" ht="14.25" customHeight="1">
      <c r="A48" s="1187" t="s">
        <v>238</v>
      </c>
      <c r="B48" s="1186"/>
      <c r="C48" s="1182"/>
      <c r="D48" s="1183"/>
      <c r="E48" s="1186" t="s">
        <v>239</v>
      </c>
      <c r="F48" s="1186"/>
      <c r="G48" s="1182"/>
      <c r="H48" s="1183"/>
      <c r="I48" s="162" t="str">
        <f>IFERROR(IF(AND(N47&lt;0,G48&gt;G47),"Congrats! You've found an Easter egg!",""),"")</f>
        <v/>
      </c>
      <c r="P48" s="10"/>
      <c r="Q48" s="10"/>
      <c r="R48" s="10"/>
      <c r="S48" s="11"/>
      <c r="T48" s="1187" t="s">
        <v>238</v>
      </c>
      <c r="U48" s="1186"/>
      <c r="V48" s="1184"/>
      <c r="W48" s="1185"/>
      <c r="X48" s="1186" t="s">
        <v>239</v>
      </c>
      <c r="Y48" s="1186"/>
      <c r="Z48" s="1182"/>
      <c r="AA48" s="1183"/>
      <c r="AB48" s="567"/>
      <c r="AI48" s="10"/>
      <c r="AJ48" s="10"/>
      <c r="AK48" s="10"/>
      <c r="AL48" s="11"/>
    </row>
    <row r="49" spans="1:38" ht="14.25" customHeight="1">
      <c r="A49" s="154"/>
      <c r="B49" s="155"/>
      <c r="C49" s="567" t="str">
        <f>IF(ABS($C$48-$C$47)&lt;1,"Supporting points shall be at least 1 mm apart!","")</f>
        <v>Supporting points shall be at least 1 mm apart!</v>
      </c>
      <c r="D49" s="163"/>
      <c r="E49" s="155"/>
      <c r="F49" s="155"/>
      <c r="G49" s="163"/>
      <c r="H49" s="163"/>
      <c r="I49" s="8"/>
      <c r="M49" s="87"/>
      <c r="N49" s="142"/>
      <c r="O49" s="142"/>
      <c r="P49" s="10"/>
      <c r="Q49" s="10"/>
      <c r="R49" s="10"/>
      <c r="S49" s="11"/>
      <c r="T49" s="154"/>
      <c r="U49" s="155"/>
      <c r="V49" s="163"/>
      <c r="W49" s="163"/>
      <c r="X49" s="155"/>
      <c r="Y49" s="155"/>
      <c r="Z49" s="163"/>
      <c r="AA49" s="163"/>
      <c r="AB49" s="8"/>
      <c r="AI49" s="10"/>
      <c r="AJ49" s="10"/>
      <c r="AK49" s="10"/>
      <c r="AL49" s="11"/>
    </row>
    <row r="50" spans="1:38" ht="14.25" customHeight="1">
      <c r="A50" s="9" t="s">
        <v>240</v>
      </c>
      <c r="B50" s="10"/>
      <c r="C50" s="10"/>
      <c r="D50" s="10"/>
      <c r="E50" s="10"/>
      <c r="F50" s="10"/>
      <c r="G50" s="10"/>
      <c r="H50" s="10"/>
      <c r="I50" s="10"/>
      <c r="J50" s="10"/>
      <c r="K50" s="10"/>
      <c r="L50" s="10"/>
      <c r="M50" s="10"/>
      <c r="N50" s="10"/>
      <c r="O50" s="10"/>
      <c r="P50" s="10"/>
      <c r="Q50" s="10"/>
      <c r="R50" s="10"/>
      <c r="S50" s="11"/>
      <c r="T50" s="86" t="s">
        <v>241</v>
      </c>
      <c r="U50" s="155"/>
      <c r="V50" s="163"/>
      <c r="W50" s="163"/>
      <c r="X50" s="155"/>
      <c r="Y50" s="155"/>
      <c r="Z50" s="163"/>
      <c r="AA50" s="163"/>
      <c r="AB50" s="8"/>
      <c r="AI50" s="10"/>
      <c r="AJ50" s="10"/>
      <c r="AK50" s="10"/>
      <c r="AL50" s="11"/>
    </row>
    <row r="51" spans="1:38">
      <c r="A51" s="1187" t="s">
        <v>242</v>
      </c>
      <c r="B51" s="1186"/>
      <c r="C51" s="1207"/>
      <c r="D51" s="1207"/>
      <c r="E51" s="8" t="s">
        <v>243</v>
      </c>
      <c r="F51" s="10"/>
      <c r="G51" s="10"/>
      <c r="H51" s="10"/>
      <c r="I51" s="10"/>
      <c r="J51" s="10"/>
      <c r="K51" s="10"/>
      <c r="L51" s="10"/>
      <c r="M51" s="10"/>
      <c r="N51" s="10"/>
      <c r="O51" s="10"/>
      <c r="P51" s="10"/>
      <c r="Q51" s="10"/>
      <c r="R51" s="10"/>
      <c r="S51" s="11"/>
      <c r="T51" s="9"/>
      <c r="U51" s="87" t="s">
        <v>244</v>
      </c>
      <c r="V51" s="1188" t="str">
        <f ca="1">IFERROR(SUMPRODUCT(OFFSET(V71,0,0,AD70-2,1),OFFSET(Y71,0,0,AD70-2,1)),"")</f>
        <v/>
      </c>
      <c r="W51" s="1189"/>
      <c r="X51" s="8"/>
      <c r="Y51" s="567" t="str">
        <f ca="1">IF(V51&lt;65,"Energy absorbtion lower than required in T3.15.3.","")</f>
        <v/>
      </c>
      <c r="Z51" s="8"/>
      <c r="AA51" s="8"/>
      <c r="AB51" s="8"/>
      <c r="AC51" s="8"/>
      <c r="AI51" s="8"/>
      <c r="AJ51" s="8"/>
      <c r="AK51" s="8"/>
      <c r="AL51" s="85"/>
    </row>
    <row r="52" spans="1:38">
      <c r="A52" s="12"/>
      <c r="B52" s="10"/>
      <c r="C52" s="1208">
        <f>2*PI()*(12.7^4-11.1^4)*365/(C57*12.7)</f>
        <v>4890.8937802226601</v>
      </c>
      <c r="D52" s="1208"/>
      <c r="E52" s="567" t="str">
        <f>IF(L86&gt;12.7,"Force must be taken at max. 12.7 mm deflection!","")</f>
        <v/>
      </c>
      <c r="F52" s="10"/>
      <c r="G52" s="10"/>
      <c r="H52" s="10"/>
      <c r="I52" s="10"/>
      <c r="J52" s="10"/>
      <c r="K52" s="10"/>
      <c r="L52" s="10"/>
      <c r="M52" s="10"/>
      <c r="N52" s="10"/>
      <c r="O52" s="10"/>
      <c r="P52" s="10"/>
      <c r="Q52" s="10"/>
      <c r="R52" s="10"/>
      <c r="S52" s="11"/>
      <c r="U52" s="8"/>
      <c r="W52" s="8"/>
      <c r="X52" s="8"/>
      <c r="Y52" s="8"/>
      <c r="Z52" s="8"/>
      <c r="AA52" s="8"/>
      <c r="AB52" s="8"/>
      <c r="AC52" s="8"/>
      <c r="AD52" s="8"/>
      <c r="AE52" s="8"/>
      <c r="AF52" s="8"/>
      <c r="AG52" s="8"/>
      <c r="AH52" s="8"/>
      <c r="AI52" s="8"/>
      <c r="AJ52" s="8"/>
      <c r="AK52" s="8"/>
      <c r="AL52" s="85"/>
    </row>
    <row r="53" spans="1:38">
      <c r="A53" s="8" t="s">
        <v>245</v>
      </c>
      <c r="T53" s="9" t="s">
        <v>246</v>
      </c>
      <c r="AI53" s="8"/>
      <c r="AJ53" s="8"/>
      <c r="AK53" s="8"/>
      <c r="AL53" s="85"/>
    </row>
    <row r="54" spans="1:38" ht="14.25">
      <c r="A54" s="8"/>
      <c r="B54" s="87" t="s">
        <v>244</v>
      </c>
      <c r="C54" s="1188" t="str">
        <f ca="1">IFERROR(SUMPRODUCT(OFFSET(C71,0,0,L87-2,1),OFFSET(F71,0,0,L87-2,1)),"")</f>
        <v/>
      </c>
      <c r="D54" s="1189"/>
      <c r="E54" s="1209" t="s">
        <v>247</v>
      </c>
      <c r="F54" s="1210"/>
      <c r="G54" s="1182"/>
      <c r="H54" s="1183"/>
      <c r="I54" s="8" t="s">
        <v>248</v>
      </c>
      <c r="T54" s="9"/>
      <c r="U54" s="87" t="s">
        <v>249</v>
      </c>
      <c r="V54" s="1176">
        <f>C57</f>
        <v>400</v>
      </c>
      <c r="W54" s="1177"/>
      <c r="X54" s="8" t="s">
        <v>250</v>
      </c>
      <c r="Y54" s="8"/>
      <c r="Z54" s="8"/>
      <c r="AA54" s="8"/>
      <c r="AB54" s="8"/>
      <c r="AC54" s="8"/>
      <c r="AD54" s="8"/>
      <c r="AE54" s="8"/>
      <c r="AF54" s="87" t="s">
        <v>251</v>
      </c>
      <c r="AG54" s="1174">
        <f>V55*(1/64)*PI()*(V56^4-V57^4)*200000</f>
        <v>3229328068.7062287</v>
      </c>
      <c r="AH54" s="1175"/>
      <c r="AI54" s="612">
        <f>AG54*48/V54^3</f>
        <v>2421.9960515296716</v>
      </c>
      <c r="AJ54" s="8"/>
      <c r="AK54" s="8"/>
      <c r="AL54" s="85"/>
    </row>
    <row r="55" spans="1:38" ht="14.25">
      <c r="G55" s="567" t="str">
        <f>IF(G54&gt;12.7,"Deflection for energy calculation must be &lt;= 12.7 mm!","")</f>
        <v/>
      </c>
      <c r="T55" s="9"/>
      <c r="U55" s="87" t="s">
        <v>252</v>
      </c>
      <c r="V55" s="1180">
        <v>2</v>
      </c>
      <c r="W55" s="1181"/>
      <c r="X55" s="8" t="s">
        <v>253</v>
      </c>
      <c r="Y55" s="8"/>
      <c r="Z55" s="8"/>
      <c r="AA55" s="8"/>
      <c r="AB55" s="8"/>
      <c r="AC55" s="8"/>
      <c r="AD55" s="8"/>
      <c r="AE55" s="8"/>
      <c r="AF55" s="87" t="s">
        <v>254</v>
      </c>
      <c r="AG55" s="1174">
        <f>IF(AG47&gt;0,(AG47*V54^3)/48,AG54)</f>
        <v>3229328068.7062287</v>
      </c>
      <c r="AH55" s="1175"/>
      <c r="AI55" s="612">
        <f>AG55*48/V54^3</f>
        <v>2421.9960515296716</v>
      </c>
      <c r="AJ55" s="298">
        <f>100*AG55/AG54</f>
        <v>100</v>
      </c>
      <c r="AK55" s="8" t="s">
        <v>255</v>
      </c>
      <c r="AL55" s="85"/>
    </row>
    <row r="56" spans="1:38" ht="15.4">
      <c r="A56" s="86" t="s">
        <v>256</v>
      </c>
      <c r="B56" s="10"/>
      <c r="C56" s="10"/>
      <c r="D56" s="10"/>
      <c r="E56" s="10"/>
      <c r="F56" s="10"/>
      <c r="G56" s="10"/>
      <c r="H56" s="10"/>
      <c r="I56" s="10"/>
      <c r="J56" s="10"/>
      <c r="K56" s="10"/>
      <c r="L56" s="10"/>
      <c r="M56" s="10"/>
      <c r="N56" s="10"/>
      <c r="O56" s="10"/>
      <c r="P56" s="10"/>
      <c r="Q56" s="10"/>
      <c r="R56" s="10"/>
      <c r="S56" s="11"/>
      <c r="T56" s="9"/>
      <c r="U56" s="87" t="s">
        <v>257</v>
      </c>
      <c r="V56" s="1172">
        <v>25.4</v>
      </c>
      <c r="W56" s="1173"/>
      <c r="X56" s="8" t="s">
        <v>258</v>
      </c>
      <c r="Y56" s="8"/>
      <c r="Z56" s="8"/>
      <c r="AA56" s="8"/>
      <c r="AB56" s="8"/>
      <c r="AC56" s="8"/>
      <c r="AD56" s="8"/>
      <c r="AE56" s="8"/>
      <c r="AF56" s="87" t="s">
        <v>259</v>
      </c>
      <c r="AG56" s="1178">
        <f>IF(AJ55&lt;75,0,IF(AG55&gt;=AG54,0,(AI55^-1-AI54^-1)^-1))</f>
        <v>0</v>
      </c>
      <c r="AH56" s="1179"/>
      <c r="AI56" s="8"/>
      <c r="AJ56" s="8"/>
      <c r="AK56" s="8"/>
      <c r="AL56" s="85"/>
    </row>
    <row r="57" spans="1:38" ht="12.75" customHeight="1">
      <c r="A57" s="9"/>
      <c r="B57" s="88" t="s">
        <v>249</v>
      </c>
      <c r="C57" s="1182">
        <v>400</v>
      </c>
      <c r="D57" s="1183"/>
      <c r="E57" s="8" t="s">
        <v>260</v>
      </c>
      <c r="F57" s="10"/>
      <c r="G57" s="10"/>
      <c r="H57" s="10"/>
      <c r="I57" s="10"/>
      <c r="J57" s="10"/>
      <c r="K57" s="10"/>
      <c r="L57" s="10"/>
      <c r="M57" s="10"/>
      <c r="N57" s="10"/>
      <c r="O57" s="10"/>
      <c r="P57" s="10"/>
      <c r="Q57" s="10"/>
      <c r="R57" s="10"/>
      <c r="S57" s="11"/>
      <c r="T57" s="9"/>
      <c r="U57" s="87" t="s">
        <v>261</v>
      </c>
      <c r="V57" s="1172">
        <v>22.4</v>
      </c>
      <c r="W57" s="1173"/>
      <c r="X57" s="8" t="s">
        <v>262</v>
      </c>
      <c r="Y57" s="8"/>
      <c r="Z57" s="8"/>
      <c r="AA57" s="8"/>
      <c r="AB57" s="8"/>
      <c r="AC57" s="8"/>
      <c r="AD57" s="8"/>
      <c r="AE57" s="8"/>
      <c r="AF57" s="8"/>
      <c r="AG57" s="8"/>
      <c r="AH57" s="8"/>
      <c r="AI57" s="8"/>
      <c r="AJ57" s="8"/>
      <c r="AK57" s="8"/>
      <c r="AL57" s="85"/>
    </row>
    <row r="58" spans="1:38">
      <c r="A58" s="1203" t="s">
        <v>263</v>
      </c>
      <c r="B58" s="1204"/>
      <c r="C58" s="1182">
        <v>275</v>
      </c>
      <c r="D58" s="1183"/>
      <c r="E58" s="8" t="s">
        <v>264</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203" t="s">
        <v>265</v>
      </c>
      <c r="B59" s="1204"/>
      <c r="C59" s="1172"/>
      <c r="D59" s="1173"/>
      <c r="E59" s="8" t="s">
        <v>266</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203" t="s">
        <v>267</v>
      </c>
      <c r="B60" s="1204"/>
      <c r="C60" s="1172"/>
      <c r="D60" s="1173"/>
      <c r="E60" s="8" t="s">
        <v>67</v>
      </c>
      <c r="F60" s="8"/>
      <c r="G60" s="8"/>
      <c r="H60" s="8"/>
      <c r="I60" s="8"/>
      <c r="J60" s="361" t="str">
        <f>IF(C60&lt;0.4*C61,"Asymmetrical lay-up: skin too thin in comparison, see T3.4.4.","")</f>
        <v/>
      </c>
      <c r="K60" s="8"/>
      <c r="M60" s="8"/>
      <c r="N60" s="8"/>
      <c r="O60" s="10"/>
      <c r="P60" s="10"/>
      <c r="Q60" s="10"/>
      <c r="R60" s="10"/>
      <c r="S60" s="11"/>
      <c r="T60" s="9"/>
      <c r="U60" s="1199" t="str">
        <f>IF(AND(0&lt;$AJ$55,$AJ$55&lt;75),"Rig compliance out of normal bounds, perform and document another rig compliance test!","")</f>
        <v/>
      </c>
      <c r="V60" s="1199"/>
      <c r="W60" s="1199"/>
      <c r="X60" s="1199"/>
      <c r="Y60" s="1199"/>
      <c r="Z60" s="1199"/>
      <c r="AA60" s="1199"/>
      <c r="AB60" s="1199"/>
      <c r="AC60" s="1199"/>
      <c r="AD60" s="1199"/>
      <c r="AE60" s="1199"/>
      <c r="AF60" s="1199"/>
      <c r="AG60" s="1199"/>
      <c r="AH60" s="1199"/>
      <c r="AI60" s="1199"/>
      <c r="AJ60" s="1199"/>
      <c r="AK60" s="1199"/>
      <c r="AL60" s="85"/>
    </row>
    <row r="61" spans="1:38" ht="15.75" customHeight="1">
      <c r="A61" s="1203" t="s">
        <v>268</v>
      </c>
      <c r="B61" s="1204"/>
      <c r="C61" s="1172"/>
      <c r="D61" s="1173"/>
      <c r="E61" s="8" t="s">
        <v>68</v>
      </c>
      <c r="F61" s="8"/>
      <c r="G61" s="8"/>
      <c r="H61" s="8"/>
      <c r="I61" s="8"/>
      <c r="J61" s="361" t="str">
        <f>IF(C61&lt;0.4*C60,"Asymmetrical lay-up: skin too thin in comparison, see T3.4.4.","")</f>
        <v/>
      </c>
      <c r="K61" s="8"/>
      <c r="M61" s="8"/>
      <c r="N61" s="8"/>
      <c r="O61" s="10"/>
      <c r="P61" s="10"/>
      <c r="Q61" s="10"/>
      <c r="R61" s="10"/>
      <c r="S61" s="11"/>
      <c r="T61" s="9"/>
      <c r="U61" s="1199"/>
      <c r="V61" s="1199"/>
      <c r="W61" s="1199"/>
      <c r="X61" s="1199"/>
      <c r="Y61" s="1199"/>
      <c r="Z61" s="1199"/>
      <c r="AA61" s="1199"/>
      <c r="AB61" s="1199"/>
      <c r="AC61" s="1199"/>
      <c r="AD61" s="1199"/>
      <c r="AE61" s="1199"/>
      <c r="AF61" s="1199"/>
      <c r="AG61" s="1199"/>
      <c r="AH61" s="1199"/>
      <c r="AI61" s="1199"/>
      <c r="AJ61" s="1199"/>
      <c r="AK61" s="1199"/>
      <c r="AL61" s="85"/>
    </row>
    <row r="62" spans="1:38" ht="14.25">
      <c r="A62" s="90"/>
      <c r="B62" s="87" t="s">
        <v>269</v>
      </c>
      <c r="C62" s="1192">
        <f>(C58*(((C59+C60+C61)^3)-(C59^3)))/12</f>
        <v>0</v>
      </c>
      <c r="D62" s="1193"/>
      <c r="E62" s="8" t="s">
        <v>270</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271</v>
      </c>
      <c r="C63" s="1188">
        <f>IF(C48&gt;0,0.001*((N47*(C48-C47)*C57^3)/(48*C62*(C48-C47))),0)</f>
        <v>0</v>
      </c>
      <c r="D63" s="1189"/>
      <c r="E63" s="8" t="s">
        <v>272</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ht="13.15">
      <c r="A64" s="91"/>
      <c r="B64" s="92" t="s">
        <v>273</v>
      </c>
      <c r="C64" s="1190" t="e">
        <f>C51*C57*0.5*SUM(C59:D61)/(4*C62)</f>
        <v>#DIV/0!</v>
      </c>
      <c r="D64" s="1191"/>
      <c r="E64" s="93" t="s">
        <v>274</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39" t="s">
        <v>275</v>
      </c>
      <c r="S65" s="15"/>
      <c r="T65" s="539" t="s">
        <v>275</v>
      </c>
      <c r="AL65" s="15"/>
    </row>
    <row r="66" spans="1:38">
      <c r="A66" s="8" t="s">
        <v>276</v>
      </c>
      <c r="S66" s="15"/>
      <c r="T66" s="8" t="s">
        <v>276</v>
      </c>
      <c r="AL66" s="15"/>
    </row>
    <row r="67" spans="1:38">
      <c r="A67" s="8" t="s">
        <v>277</v>
      </c>
      <c r="S67" s="15"/>
      <c r="T67" s="8" t="s">
        <v>277</v>
      </c>
      <c r="V67" s="104"/>
      <c r="W67" s="104"/>
      <c r="X67" s="104"/>
      <c r="Y67" s="104"/>
      <c r="Z67" s="104"/>
      <c r="AA67" s="104"/>
      <c r="AB67" s="104"/>
      <c r="AC67" s="104"/>
      <c r="AD67" s="104"/>
      <c r="AE67" s="104"/>
      <c r="AF67" s="104"/>
      <c r="AG67" s="104"/>
      <c r="AH67" s="104"/>
      <c r="AI67" s="104"/>
      <c r="AJ67" s="104"/>
      <c r="AK67" s="104"/>
      <c r="AL67" s="147"/>
    </row>
    <row r="68" spans="1:38">
      <c r="A68" s="4"/>
      <c r="S68" s="15"/>
      <c r="T68" s="4"/>
      <c r="V68" s="104"/>
      <c r="W68" s="104"/>
      <c r="X68" s="104"/>
      <c r="Y68" s="104"/>
      <c r="Z68" s="104"/>
      <c r="AA68" s="104"/>
      <c r="AB68" s="104"/>
      <c r="AC68" s="104"/>
      <c r="AD68" s="104"/>
      <c r="AE68" s="104"/>
      <c r="AF68" s="104"/>
      <c r="AG68" s="104"/>
      <c r="AH68" s="104"/>
      <c r="AI68" s="104"/>
      <c r="AJ68" s="104"/>
      <c r="AK68" s="104"/>
      <c r="AL68" s="147"/>
    </row>
    <row r="69" spans="1:38" ht="23.25">
      <c r="A69" s="4"/>
      <c r="B69" s="541"/>
      <c r="C69" s="737" t="s">
        <v>278</v>
      </c>
      <c r="D69" s="738" t="s">
        <v>279</v>
      </c>
      <c r="F69" s="514"/>
      <c r="G69" s="514"/>
      <c r="H69" s="1013"/>
      <c r="I69" s="1013"/>
      <c r="J69" s="1014"/>
      <c r="K69" s="1014"/>
      <c r="L69" s="514"/>
      <c r="M69" s="514"/>
      <c r="N69" s="514"/>
      <c r="O69" s="514"/>
      <c r="P69" s="514"/>
      <c r="Q69" s="514"/>
      <c r="S69" s="15"/>
      <c r="T69" s="4"/>
      <c r="U69" s="541"/>
      <c r="V69" s="737" t="s">
        <v>278</v>
      </c>
      <c r="W69" s="738" t="s">
        <v>279</v>
      </c>
      <c r="Y69" s="649"/>
      <c r="Z69" s="649"/>
      <c r="AA69" s="1011"/>
      <c r="AB69" s="1011"/>
      <c r="AC69" s="649"/>
      <c r="AD69" s="649"/>
      <c r="AE69" s="649"/>
      <c r="AF69" s="649"/>
      <c r="AG69" s="649"/>
      <c r="AH69" s="649"/>
      <c r="AI69" s="649"/>
      <c r="AJ69" s="649"/>
      <c r="AK69" s="649"/>
      <c r="AL69" s="147"/>
    </row>
    <row r="70" spans="1:38" ht="14.25">
      <c r="A70" s="4"/>
      <c r="B70" s="542">
        <v>1</v>
      </c>
      <c r="C70" s="824"/>
      <c r="D70" s="825"/>
      <c r="F70" s="1015"/>
      <c r="G70" s="514"/>
      <c r="H70" s="845" t="s">
        <v>280</v>
      </c>
      <c r="I70" s="815"/>
      <c r="J70" s="815"/>
      <c r="K70" s="816"/>
      <c r="L70" s="817"/>
      <c r="M70" s="817"/>
      <c r="N70" s="817"/>
      <c r="O70" s="817"/>
      <c r="P70" s="817"/>
      <c r="Q70" s="817"/>
      <c r="R70" s="818"/>
      <c r="S70" s="15"/>
      <c r="T70" s="4"/>
      <c r="U70" s="542">
        <v>1</v>
      </c>
      <c r="V70" s="828"/>
      <c r="W70" s="829"/>
      <c r="Y70" s="599"/>
      <c r="Z70" s="599"/>
      <c r="AA70" s="1012"/>
      <c r="AB70" s="1010" t="s">
        <v>281</v>
      </c>
      <c r="AC70" s="1010"/>
      <c r="AD70" s="1010" cm="1">
        <f t="array" ref="AD70">MATCH(MIN(ABS(W70:W396-12.7)),ABS(W70:W396-12.7),0)</f>
        <v>1</v>
      </c>
      <c r="AE70" s="599"/>
      <c r="AF70" s="599"/>
      <c r="AG70" s="599"/>
      <c r="AH70" s="599"/>
      <c r="AI70" s="649"/>
      <c r="AJ70" s="649"/>
      <c r="AK70" s="649"/>
      <c r="AL70" s="147"/>
    </row>
    <row r="71" spans="1:38">
      <c r="A71" s="4"/>
      <c r="B71" s="542">
        <v>2</v>
      </c>
      <c r="C71" s="826"/>
      <c r="D71" s="827"/>
      <c r="F71" s="1008">
        <f>D71-D70</f>
        <v>0</v>
      </c>
      <c r="G71" s="1016"/>
      <c r="H71" s="846" t="s">
        <v>282</v>
      </c>
      <c r="I71" s="316"/>
      <c r="J71" s="316"/>
      <c r="K71" s="644"/>
      <c r="L71" s="644"/>
      <c r="M71" s="644"/>
      <c r="N71" s="644"/>
      <c r="O71" s="644"/>
      <c r="P71" s="644"/>
      <c r="Q71" s="644"/>
      <c r="R71" s="819"/>
      <c r="S71" s="15"/>
      <c r="T71" s="4"/>
      <c r="U71" s="542">
        <v>2</v>
      </c>
      <c r="V71" s="828"/>
      <c r="W71" s="829"/>
      <c r="Y71" s="1009">
        <f>W71-W70</f>
        <v>0</v>
      </c>
      <c r="Z71" s="613"/>
      <c r="AA71" s="514"/>
      <c r="AB71" s="1010" t="s">
        <v>283</v>
      </c>
      <c r="AC71" s="1010"/>
      <c r="AD71" s="1010" cm="1">
        <f t="array" ref="AD71">INDEX(V70:X397,AD70,2)</f>
        <v>0</v>
      </c>
      <c r="AE71" s="599"/>
      <c r="AF71" s="599"/>
      <c r="AG71" s="599"/>
      <c r="AH71" s="599"/>
      <c r="AI71" s="649"/>
      <c r="AJ71" s="649"/>
      <c r="AK71" s="649"/>
      <c r="AL71" s="147"/>
    </row>
    <row r="72" spans="1:38">
      <c r="A72" s="4"/>
      <c r="B72" s="542">
        <v>3</v>
      </c>
      <c r="C72" s="826"/>
      <c r="D72" s="827"/>
      <c r="F72" s="1008">
        <f t="shared" ref="F72:F135" si="0">D72-D71</f>
        <v>0</v>
      </c>
      <c r="G72" s="1016"/>
      <c r="H72" s="820"/>
      <c r="I72" s="644"/>
      <c r="J72" s="644"/>
      <c r="K72" s="644"/>
      <c r="L72" s="644"/>
      <c r="M72" s="644"/>
      <c r="N72" s="644"/>
      <c r="O72" s="644"/>
      <c r="P72" s="644"/>
      <c r="Q72" s="644"/>
      <c r="R72" s="819"/>
      <c r="S72" s="15"/>
      <c r="T72" s="4"/>
      <c r="U72" s="542">
        <v>3</v>
      </c>
      <c r="V72" s="828"/>
      <c r="W72" s="829"/>
      <c r="Y72" s="1009">
        <f t="shared" ref="Y72:Y135" si="1">W72-W71</f>
        <v>0</v>
      </c>
      <c r="Z72" s="613"/>
      <c r="AA72" s="514"/>
      <c r="AB72" s="514"/>
      <c r="AC72" s="599"/>
      <c r="AD72" s="599"/>
      <c r="AE72" s="599"/>
      <c r="AF72" s="599"/>
      <c r="AG72" s="599"/>
      <c r="AH72" s="599"/>
      <c r="AI72" s="649"/>
      <c r="AJ72" s="649"/>
      <c r="AK72" s="649"/>
      <c r="AL72" s="147"/>
    </row>
    <row r="73" spans="1:38">
      <c r="A73" s="4"/>
      <c r="B73" s="542">
        <v>4</v>
      </c>
      <c r="C73" s="826"/>
      <c r="D73" s="827"/>
      <c r="F73" s="1008">
        <f t="shared" si="0"/>
        <v>0</v>
      </c>
      <c r="G73" s="514"/>
      <c r="H73" s="820"/>
      <c r="I73" s="644"/>
      <c r="J73" s="644"/>
      <c r="K73" s="644"/>
      <c r="L73" s="644"/>
      <c r="M73" s="644"/>
      <c r="N73" s="644"/>
      <c r="O73" s="644"/>
      <c r="P73" s="644"/>
      <c r="Q73" s="644"/>
      <c r="R73" s="819"/>
      <c r="S73" s="15"/>
      <c r="T73" s="4"/>
      <c r="U73" s="542">
        <v>4</v>
      </c>
      <c r="V73" s="828"/>
      <c r="W73" s="829"/>
      <c r="Y73" s="1009">
        <f t="shared" si="1"/>
        <v>0</v>
      </c>
      <c r="Z73" s="599"/>
      <c r="AA73" s="599"/>
      <c r="AB73" s="599"/>
      <c r="AC73" s="599"/>
      <c r="AD73" s="599"/>
      <c r="AE73" s="599"/>
      <c r="AF73" s="599"/>
      <c r="AG73" s="599"/>
      <c r="AH73" s="599"/>
      <c r="AI73" s="649"/>
      <c r="AJ73" s="649"/>
      <c r="AK73" s="649"/>
      <c r="AL73" s="147"/>
    </row>
    <row r="74" spans="1:38">
      <c r="A74" s="4"/>
      <c r="B74" s="542">
        <v>5</v>
      </c>
      <c r="C74" s="826"/>
      <c r="D74" s="827"/>
      <c r="F74" s="1008">
        <f t="shared" si="0"/>
        <v>0</v>
      </c>
      <c r="G74" s="514"/>
      <c r="H74" s="820"/>
      <c r="I74" s="644"/>
      <c r="J74" s="644"/>
      <c r="K74" s="644"/>
      <c r="L74" s="644"/>
      <c r="M74" s="644"/>
      <c r="N74" s="644"/>
      <c r="O74" s="644"/>
      <c r="P74" s="644"/>
      <c r="Q74" s="644"/>
      <c r="R74" s="819"/>
      <c r="S74" s="15"/>
      <c r="T74" s="4"/>
      <c r="U74" s="542">
        <v>5</v>
      </c>
      <c r="V74" s="828"/>
      <c r="W74" s="829"/>
      <c r="Y74" s="1009">
        <f t="shared" si="1"/>
        <v>0</v>
      </c>
      <c r="Z74" s="599"/>
      <c r="AA74" s="599"/>
      <c r="AB74" s="599"/>
      <c r="AC74" s="599"/>
      <c r="AD74" s="599"/>
      <c r="AE74" s="599"/>
      <c r="AF74" s="599"/>
      <c r="AG74" s="599"/>
      <c r="AH74" s="599"/>
      <c r="AI74" s="649"/>
      <c r="AJ74" s="649"/>
      <c r="AK74" s="649"/>
      <c r="AL74" s="147"/>
    </row>
    <row r="75" spans="1:38">
      <c r="A75" s="4"/>
      <c r="B75" s="542">
        <v>6</v>
      </c>
      <c r="C75" s="826"/>
      <c r="D75" s="827"/>
      <c r="F75" s="1008">
        <f t="shared" si="0"/>
        <v>0</v>
      </c>
      <c r="G75" s="514"/>
      <c r="H75" s="820"/>
      <c r="I75" s="644"/>
      <c r="J75" s="644"/>
      <c r="K75" s="644"/>
      <c r="L75" s="644"/>
      <c r="M75" s="644"/>
      <c r="N75" s="644"/>
      <c r="O75" s="644"/>
      <c r="P75" s="644"/>
      <c r="Q75" s="644"/>
      <c r="R75" s="819"/>
      <c r="S75" s="15"/>
      <c r="T75" s="4"/>
      <c r="U75" s="542">
        <v>6</v>
      </c>
      <c r="V75" s="828"/>
      <c r="W75" s="829"/>
      <c r="Y75" s="1009">
        <f t="shared" si="1"/>
        <v>0</v>
      </c>
      <c r="Z75" s="599"/>
      <c r="AA75" s="599"/>
      <c r="AB75" s="599"/>
      <c r="AC75" s="599"/>
      <c r="AD75" s="599"/>
      <c r="AE75" s="599"/>
      <c r="AF75" s="599"/>
      <c r="AG75" s="599"/>
      <c r="AH75" s="599"/>
      <c r="AI75" s="649"/>
      <c r="AJ75" s="649"/>
      <c r="AK75" s="649"/>
      <c r="AL75" s="147"/>
    </row>
    <row r="76" spans="1:38">
      <c r="A76" s="4"/>
      <c r="B76" s="542">
        <v>7</v>
      </c>
      <c r="C76" s="826"/>
      <c r="D76" s="827"/>
      <c r="F76" s="1008">
        <f t="shared" si="0"/>
        <v>0</v>
      </c>
      <c r="G76" s="514"/>
      <c r="H76" s="820"/>
      <c r="I76" s="644"/>
      <c r="J76" s="644"/>
      <c r="K76" s="644"/>
      <c r="L76" s="644"/>
      <c r="M76" s="644"/>
      <c r="N76" s="644"/>
      <c r="O76" s="644"/>
      <c r="P76" s="644"/>
      <c r="Q76" s="644"/>
      <c r="R76" s="819"/>
      <c r="S76" s="15"/>
      <c r="T76" s="4"/>
      <c r="U76" s="542">
        <v>7</v>
      </c>
      <c r="V76" s="828"/>
      <c r="W76" s="829"/>
      <c r="Y76" s="1009">
        <f t="shared" si="1"/>
        <v>0</v>
      </c>
      <c r="Z76" s="599"/>
      <c r="AA76" s="599"/>
      <c r="AB76" s="599"/>
      <c r="AC76" s="599"/>
      <c r="AD76" s="599"/>
      <c r="AE76" s="599"/>
      <c r="AF76" s="599"/>
      <c r="AG76" s="599"/>
      <c r="AH76" s="599"/>
      <c r="AI76" s="649"/>
      <c r="AJ76" s="649"/>
      <c r="AK76" s="649"/>
      <c r="AL76" s="147"/>
    </row>
    <row r="77" spans="1:38">
      <c r="A77" s="4"/>
      <c r="B77" s="542">
        <v>8</v>
      </c>
      <c r="C77" s="826"/>
      <c r="D77" s="827"/>
      <c r="F77" s="1008">
        <f t="shared" si="0"/>
        <v>0</v>
      </c>
      <c r="G77" s="514"/>
      <c r="H77" s="820"/>
      <c r="I77" s="644"/>
      <c r="J77" s="644"/>
      <c r="K77" s="644"/>
      <c r="L77" s="644"/>
      <c r="M77" s="644"/>
      <c r="N77" s="644"/>
      <c r="O77" s="644"/>
      <c r="P77" s="644"/>
      <c r="Q77" s="644"/>
      <c r="R77" s="819"/>
      <c r="S77" s="15"/>
      <c r="T77" s="4"/>
      <c r="U77" s="542">
        <v>8</v>
      </c>
      <c r="V77" s="828"/>
      <c r="W77" s="829"/>
      <c r="Y77" s="1009">
        <f t="shared" si="1"/>
        <v>0</v>
      </c>
      <c r="Z77" s="599"/>
      <c r="AA77" s="599"/>
      <c r="AB77" s="599"/>
      <c r="AC77" s="599"/>
      <c r="AD77" s="599"/>
      <c r="AE77" s="599"/>
      <c r="AF77" s="599"/>
      <c r="AG77" s="599"/>
      <c r="AH77" s="599"/>
      <c r="AI77" s="649"/>
      <c r="AJ77" s="649"/>
      <c r="AK77" s="649"/>
      <c r="AL77" s="147"/>
    </row>
    <row r="78" spans="1:38">
      <c r="A78" s="4"/>
      <c r="B78" s="542">
        <v>9</v>
      </c>
      <c r="C78" s="826"/>
      <c r="D78" s="827"/>
      <c r="F78" s="1008">
        <f t="shared" si="0"/>
        <v>0</v>
      </c>
      <c r="G78" s="514"/>
      <c r="H78" s="820"/>
      <c r="I78" s="644"/>
      <c r="J78" s="644"/>
      <c r="K78" s="644"/>
      <c r="L78" s="644"/>
      <c r="M78" s="644"/>
      <c r="N78" s="644"/>
      <c r="O78" s="644"/>
      <c r="P78" s="644"/>
      <c r="Q78" s="644"/>
      <c r="R78" s="819"/>
      <c r="S78" s="15"/>
      <c r="T78" s="4"/>
      <c r="U78" s="542">
        <v>9</v>
      </c>
      <c r="V78" s="828"/>
      <c r="W78" s="829"/>
      <c r="Y78" s="1009">
        <f t="shared" si="1"/>
        <v>0</v>
      </c>
      <c r="Z78" s="599"/>
      <c r="AA78" s="599"/>
      <c r="AB78" s="599"/>
      <c r="AC78" s="599"/>
      <c r="AD78" s="599"/>
      <c r="AE78" s="599"/>
      <c r="AF78" s="599"/>
      <c r="AG78" s="599"/>
      <c r="AH78" s="599"/>
      <c r="AI78" s="649"/>
      <c r="AJ78" s="649"/>
      <c r="AK78" s="649"/>
      <c r="AL78" s="147"/>
    </row>
    <row r="79" spans="1:38">
      <c r="A79" s="4"/>
      <c r="B79" s="542">
        <v>10</v>
      </c>
      <c r="C79" s="826"/>
      <c r="D79" s="827"/>
      <c r="F79" s="1008">
        <f t="shared" si="0"/>
        <v>0</v>
      </c>
      <c r="G79" s="514"/>
      <c r="H79" s="820"/>
      <c r="I79" s="644"/>
      <c r="J79" s="644"/>
      <c r="K79" s="644"/>
      <c r="L79" s="644"/>
      <c r="M79" s="644"/>
      <c r="N79" s="644"/>
      <c r="O79" s="644"/>
      <c r="P79" s="644"/>
      <c r="Q79" s="644"/>
      <c r="R79" s="819"/>
      <c r="S79" s="15"/>
      <c r="T79" s="4"/>
      <c r="U79" s="542">
        <v>10</v>
      </c>
      <c r="V79" s="828"/>
      <c r="W79" s="829"/>
      <c r="Y79" s="1009">
        <f t="shared" si="1"/>
        <v>0</v>
      </c>
      <c r="Z79" s="599"/>
      <c r="AA79" s="599"/>
      <c r="AB79" s="599"/>
      <c r="AC79" s="599"/>
      <c r="AD79" s="599"/>
      <c r="AE79" s="599"/>
      <c r="AF79" s="599"/>
      <c r="AG79" s="599"/>
      <c r="AH79" s="599"/>
      <c r="AI79" s="649"/>
      <c r="AJ79" s="649"/>
      <c r="AK79" s="649"/>
      <c r="AL79" s="147"/>
    </row>
    <row r="80" spans="1:38">
      <c r="A80" s="4"/>
      <c r="B80" s="542">
        <v>11</v>
      </c>
      <c r="C80" s="826"/>
      <c r="D80" s="827"/>
      <c r="F80" s="1008">
        <f t="shared" si="0"/>
        <v>0</v>
      </c>
      <c r="G80" s="514"/>
      <c r="H80" s="821"/>
      <c r="I80" s="822"/>
      <c r="J80" s="822"/>
      <c r="K80" s="822"/>
      <c r="L80" s="822"/>
      <c r="M80" s="822"/>
      <c r="N80" s="822"/>
      <c r="O80" s="822"/>
      <c r="P80" s="822"/>
      <c r="Q80" s="822"/>
      <c r="R80" s="823"/>
      <c r="S80" s="15"/>
      <c r="T80" s="4"/>
      <c r="U80" s="542">
        <v>11</v>
      </c>
      <c r="V80" s="828"/>
      <c r="W80" s="829"/>
      <c r="Y80" s="1009">
        <f t="shared" si="1"/>
        <v>0</v>
      </c>
      <c r="Z80" s="599"/>
      <c r="AA80" s="599"/>
      <c r="AB80" s="599"/>
      <c r="AC80" s="599"/>
      <c r="AD80" s="599"/>
      <c r="AE80" s="599"/>
      <c r="AF80" s="599"/>
      <c r="AG80" s="599"/>
      <c r="AH80" s="599"/>
      <c r="AI80" s="649"/>
      <c r="AJ80" s="649"/>
      <c r="AK80" s="649"/>
      <c r="AL80" s="147"/>
    </row>
    <row r="81" spans="1:38">
      <c r="A81" s="4"/>
      <c r="B81" s="542">
        <v>12</v>
      </c>
      <c r="C81" s="826"/>
      <c r="D81" s="827"/>
      <c r="F81" s="1008">
        <f t="shared" si="0"/>
        <v>0</v>
      </c>
      <c r="G81" s="514"/>
      <c r="H81" s="1010"/>
      <c r="I81" s="1010"/>
      <c r="J81" s="1010"/>
      <c r="K81" s="1010"/>
      <c r="L81" s="1010"/>
      <c r="M81" s="1010"/>
      <c r="N81" s="1010"/>
      <c r="O81" s="1010"/>
      <c r="P81" s="1010"/>
      <c r="Q81" s="1010"/>
      <c r="R81" s="1010"/>
      <c r="S81" s="15"/>
      <c r="T81" s="4"/>
      <c r="U81" s="542">
        <v>12</v>
      </c>
      <c r="V81" s="828"/>
      <c r="W81" s="829"/>
      <c r="Y81" s="1009">
        <f t="shared" si="1"/>
        <v>0</v>
      </c>
      <c r="Z81" s="599"/>
      <c r="AA81" s="599"/>
      <c r="AB81" s="599"/>
      <c r="AC81" s="599"/>
      <c r="AD81" s="599"/>
      <c r="AE81" s="599"/>
      <c r="AF81" s="599"/>
      <c r="AG81" s="599"/>
      <c r="AH81" s="599"/>
      <c r="AI81" s="649"/>
      <c r="AJ81" s="649"/>
      <c r="AK81" s="649"/>
      <c r="AL81" s="147"/>
    </row>
    <row r="82" spans="1:38">
      <c r="A82" s="4"/>
      <c r="B82" s="542">
        <v>13</v>
      </c>
      <c r="C82" s="826"/>
      <c r="D82" s="827"/>
      <c r="F82" s="1008">
        <f t="shared" si="0"/>
        <v>0</v>
      </c>
      <c r="G82" s="514"/>
      <c r="H82" s="1010"/>
      <c r="I82" s="1010"/>
      <c r="J82" s="1010"/>
      <c r="K82" s="1010"/>
      <c r="L82" s="1010"/>
      <c r="M82" s="1010"/>
      <c r="N82" s="1010"/>
      <c r="O82" s="1010"/>
      <c r="P82" s="1010"/>
      <c r="Q82" s="1010"/>
      <c r="R82" s="1010"/>
      <c r="S82" s="15"/>
      <c r="T82" s="4"/>
      <c r="U82" s="542">
        <v>13</v>
      </c>
      <c r="V82" s="828"/>
      <c r="W82" s="829"/>
      <c r="Y82" s="1009">
        <f t="shared" si="1"/>
        <v>0</v>
      </c>
      <c r="Z82" s="599"/>
      <c r="AA82" s="599"/>
      <c r="AB82" s="599"/>
      <c r="AC82" s="599"/>
      <c r="AD82" s="599"/>
      <c r="AE82" s="599"/>
      <c r="AF82" s="599"/>
      <c r="AG82" s="599"/>
      <c r="AH82" s="599"/>
      <c r="AI82" s="649"/>
      <c r="AJ82" s="649"/>
      <c r="AK82" s="649"/>
      <c r="AL82" s="147"/>
    </row>
    <row r="83" spans="1:38">
      <c r="A83" s="4"/>
      <c r="B83" s="542">
        <v>14</v>
      </c>
      <c r="C83" s="826"/>
      <c r="D83" s="827"/>
      <c r="F83" s="1008">
        <f t="shared" si="0"/>
        <v>0</v>
      </c>
      <c r="G83" s="514"/>
      <c r="H83" s="1010"/>
      <c r="I83" s="1010"/>
      <c r="J83" s="1010"/>
      <c r="K83" s="1010"/>
      <c r="L83" s="1010"/>
      <c r="M83" s="1010"/>
      <c r="N83" s="1010"/>
      <c r="O83" s="1010"/>
      <c r="P83" s="1010"/>
      <c r="Q83" s="1010"/>
      <c r="R83" s="1010"/>
      <c r="S83" s="15"/>
      <c r="T83" s="4"/>
      <c r="U83" s="542">
        <v>14</v>
      </c>
      <c r="V83" s="828"/>
      <c r="W83" s="829"/>
      <c r="Y83" s="1009">
        <f t="shared" si="1"/>
        <v>0</v>
      </c>
      <c r="Z83" s="599"/>
      <c r="AA83" s="599"/>
      <c r="AB83" s="599"/>
      <c r="AC83" s="599"/>
      <c r="AD83" s="599"/>
      <c r="AE83" s="599"/>
      <c r="AF83" s="599"/>
      <c r="AG83" s="599"/>
      <c r="AH83" s="599"/>
      <c r="AI83" s="649"/>
      <c r="AJ83" s="649"/>
      <c r="AK83" s="649"/>
      <c r="AL83" s="147"/>
    </row>
    <row r="84" spans="1:38">
      <c r="A84" s="4"/>
      <c r="B84" s="542">
        <v>15</v>
      </c>
      <c r="C84" s="826"/>
      <c r="D84" s="827"/>
      <c r="F84" s="1008">
        <f t="shared" si="0"/>
        <v>0</v>
      </c>
      <c r="G84" s="514"/>
      <c r="H84" s="1010"/>
      <c r="I84" s="1010"/>
      <c r="J84" s="1010"/>
      <c r="K84" s="1010"/>
      <c r="L84" s="1010"/>
      <c r="M84" s="1010"/>
      <c r="N84" s="1010"/>
      <c r="O84" s="1010"/>
      <c r="P84" s="1010"/>
      <c r="Q84" s="1010"/>
      <c r="R84" s="1010"/>
      <c r="S84" s="15"/>
      <c r="T84" s="4"/>
      <c r="U84" s="542">
        <v>15</v>
      </c>
      <c r="V84" s="828"/>
      <c r="W84" s="829"/>
      <c r="Y84" s="1009">
        <f t="shared" si="1"/>
        <v>0</v>
      </c>
      <c r="Z84" s="599"/>
      <c r="AA84" s="599"/>
      <c r="AB84" s="599"/>
      <c r="AC84" s="599"/>
      <c r="AD84" s="599"/>
      <c r="AE84" s="599"/>
      <c r="AF84" s="599"/>
      <c r="AG84" s="599"/>
      <c r="AH84" s="599"/>
      <c r="AI84" s="649"/>
      <c r="AJ84" s="649"/>
      <c r="AK84" s="649"/>
      <c r="AL84" s="147"/>
    </row>
    <row r="85" spans="1:38">
      <c r="A85" s="4"/>
      <c r="B85" s="542">
        <v>16</v>
      </c>
      <c r="C85" s="826"/>
      <c r="D85" s="827"/>
      <c r="F85" s="1008">
        <f t="shared" si="0"/>
        <v>0</v>
      </c>
      <c r="G85" s="514"/>
      <c r="H85" s="1010"/>
      <c r="I85" s="1010"/>
      <c r="J85" s="1010" t="s">
        <v>284</v>
      </c>
      <c r="K85" s="1010"/>
      <c r="L85" s="1010" cm="1">
        <f t="array" ref="L85">MATCH(MIN(ABS(C70:C396-C51/1000)),ABS(C70:C396-C51/1000),0)</f>
        <v>1</v>
      </c>
      <c r="M85" s="1010"/>
      <c r="N85" s="1010"/>
      <c r="O85" s="1010"/>
      <c r="P85" s="1010"/>
      <c r="Q85" s="1010"/>
      <c r="R85" s="1010"/>
      <c r="S85" s="15"/>
      <c r="T85" s="4"/>
      <c r="U85" s="542">
        <v>16</v>
      </c>
      <c r="V85" s="828"/>
      <c r="W85" s="829"/>
      <c r="Y85" s="1009">
        <f t="shared" si="1"/>
        <v>0</v>
      </c>
      <c r="Z85" s="599"/>
      <c r="AA85" s="599"/>
      <c r="AB85" s="599"/>
      <c r="AC85" s="599"/>
      <c r="AD85" s="599"/>
      <c r="AE85" s="599"/>
      <c r="AF85" s="599"/>
      <c r="AG85" s="599"/>
      <c r="AH85" s="599"/>
      <c r="AI85" s="649"/>
      <c r="AJ85" s="649"/>
      <c r="AK85" s="649"/>
      <c r="AL85" s="147"/>
    </row>
    <row r="86" spans="1:38">
      <c r="A86" s="4"/>
      <c r="B86" s="542">
        <v>17</v>
      </c>
      <c r="C86" s="826"/>
      <c r="D86" s="827"/>
      <c r="F86" s="1008">
        <f t="shared" si="0"/>
        <v>0</v>
      </c>
      <c r="G86" s="514"/>
      <c r="H86" s="1010"/>
      <c r="I86" s="1010"/>
      <c r="J86" s="1010" t="s">
        <v>283</v>
      </c>
      <c r="K86" s="1010"/>
      <c r="L86" s="1010" cm="1">
        <f t="array" ref="L86">INDEX(C70:E397,L85,2)</f>
        <v>0</v>
      </c>
      <c r="M86" s="1010"/>
      <c r="N86" s="1010"/>
      <c r="O86" s="1010"/>
      <c r="P86" s="1010"/>
      <c r="Q86" s="1010"/>
      <c r="R86" s="1010"/>
      <c r="S86" s="15"/>
      <c r="T86" s="4"/>
      <c r="U86" s="542">
        <v>17</v>
      </c>
      <c r="V86" s="828"/>
      <c r="W86" s="829"/>
      <c r="Y86" s="1009">
        <f t="shared" si="1"/>
        <v>0</v>
      </c>
      <c r="Z86" s="599"/>
      <c r="AA86" s="599"/>
      <c r="AB86" s="599"/>
      <c r="AC86" s="599"/>
      <c r="AD86" s="599"/>
      <c r="AE86" s="599"/>
      <c r="AF86" s="599"/>
      <c r="AG86" s="599"/>
      <c r="AH86" s="599"/>
      <c r="AI86" s="649"/>
      <c r="AJ86" s="649"/>
      <c r="AK86" s="649"/>
      <c r="AL86" s="147"/>
    </row>
    <row r="87" spans="1:38">
      <c r="A87" s="4"/>
      <c r="B87" s="542">
        <v>18</v>
      </c>
      <c r="C87" s="826"/>
      <c r="D87" s="827"/>
      <c r="F87" s="1008">
        <f t="shared" si="0"/>
        <v>0</v>
      </c>
      <c r="G87" s="514"/>
      <c r="H87" s="1010"/>
      <c r="I87" s="1010"/>
      <c r="J87" s="1010" t="s">
        <v>285</v>
      </c>
      <c r="K87" s="1010"/>
      <c r="L87" s="1010" cm="1">
        <f t="array" ref="L87">MATCH(MIN(ABS(D70:D396-G54)),ABS(D70:D396-G54),0)</f>
        <v>1</v>
      </c>
      <c r="M87" s="1010"/>
      <c r="N87" s="1010"/>
      <c r="O87" s="1010"/>
      <c r="P87" s="1010"/>
      <c r="Q87" s="1010"/>
      <c r="R87" s="1010"/>
      <c r="S87" s="15"/>
      <c r="T87" s="4"/>
      <c r="U87" s="542">
        <v>18</v>
      </c>
      <c r="V87" s="828"/>
      <c r="W87" s="829"/>
      <c r="Y87" s="1009">
        <f t="shared" si="1"/>
        <v>0</v>
      </c>
      <c r="Z87" s="599"/>
      <c r="AA87" s="599"/>
      <c r="AB87" s="599"/>
      <c r="AC87" s="599"/>
      <c r="AD87" s="599"/>
      <c r="AE87" s="599"/>
      <c r="AF87" s="599"/>
      <c r="AG87" s="599"/>
      <c r="AH87" s="599"/>
      <c r="AI87" s="649"/>
      <c r="AJ87" s="649"/>
      <c r="AK87" s="649"/>
      <c r="AL87" s="147"/>
    </row>
    <row r="88" spans="1:38">
      <c r="A88" s="4"/>
      <c r="B88" s="542">
        <v>19</v>
      </c>
      <c r="C88" s="826"/>
      <c r="D88" s="827"/>
      <c r="F88" s="1008">
        <f t="shared" si="0"/>
        <v>0</v>
      </c>
      <c r="G88" s="514"/>
      <c r="H88" s="1010"/>
      <c r="I88" s="1010"/>
      <c r="J88" s="1010"/>
      <c r="K88" s="1010"/>
      <c r="L88" s="1010"/>
      <c r="M88" s="1010"/>
      <c r="N88" s="1010"/>
      <c r="O88" s="1010"/>
      <c r="P88" s="1010"/>
      <c r="Q88" s="1010"/>
      <c r="R88" s="1010"/>
      <c r="S88" s="15"/>
      <c r="T88" s="4"/>
      <c r="U88" s="542">
        <v>19</v>
      </c>
      <c r="V88" s="828"/>
      <c r="W88" s="829"/>
      <c r="Y88" s="1009">
        <f t="shared" si="1"/>
        <v>0</v>
      </c>
      <c r="Z88" s="599"/>
      <c r="AA88" s="599"/>
      <c r="AB88" s="599"/>
      <c r="AC88" s="599"/>
      <c r="AD88" s="599"/>
      <c r="AE88" s="599"/>
      <c r="AF88" s="599"/>
      <c r="AG88" s="599"/>
      <c r="AH88" s="599"/>
      <c r="AI88" s="649"/>
      <c r="AJ88" s="649"/>
      <c r="AK88" s="649"/>
      <c r="AL88" s="147"/>
    </row>
    <row r="89" spans="1:38">
      <c r="A89" s="4"/>
      <c r="B89" s="542">
        <v>20</v>
      </c>
      <c r="C89" s="826"/>
      <c r="D89" s="827"/>
      <c r="F89" s="1008">
        <f t="shared" si="0"/>
        <v>0</v>
      </c>
      <c r="G89" s="514"/>
      <c r="H89" s="1010"/>
      <c r="I89" s="1010"/>
      <c r="J89" s="1010"/>
      <c r="K89" s="1010"/>
      <c r="L89" s="1010"/>
      <c r="M89" s="1010"/>
      <c r="N89" s="1010"/>
      <c r="O89" s="1010"/>
      <c r="P89" s="1010"/>
      <c r="Q89" s="1010"/>
      <c r="R89" s="1010"/>
      <c r="S89" s="15"/>
      <c r="T89" s="4"/>
      <c r="U89" s="542">
        <v>20</v>
      </c>
      <c r="V89" s="828"/>
      <c r="W89" s="829"/>
      <c r="Y89" s="1009">
        <f t="shared" si="1"/>
        <v>0</v>
      </c>
      <c r="Z89" s="599"/>
      <c r="AA89" s="599"/>
      <c r="AB89" s="599"/>
      <c r="AC89" s="599"/>
      <c r="AD89" s="599"/>
      <c r="AE89" s="599"/>
      <c r="AF89" s="599"/>
      <c r="AG89" s="599"/>
      <c r="AH89" s="599"/>
      <c r="AI89" s="649"/>
      <c r="AJ89" s="649"/>
      <c r="AK89" s="649"/>
      <c r="AL89" s="147"/>
    </row>
    <row r="90" spans="1:38">
      <c r="A90" s="4"/>
      <c r="B90" s="542">
        <v>21</v>
      </c>
      <c r="C90" s="826"/>
      <c r="D90" s="827"/>
      <c r="F90" s="1008">
        <f t="shared" si="0"/>
        <v>0</v>
      </c>
      <c r="G90" s="514"/>
      <c r="H90" s="1010"/>
      <c r="I90" s="1010"/>
      <c r="J90" s="1010"/>
      <c r="K90" s="1010"/>
      <c r="L90" s="1010"/>
      <c r="M90" s="1010"/>
      <c r="N90" s="1010"/>
      <c r="O90" s="1010"/>
      <c r="P90" s="1010"/>
      <c r="Q90" s="1010"/>
      <c r="R90" s="1010"/>
      <c r="S90" s="15"/>
      <c r="T90" s="4"/>
      <c r="U90" s="542">
        <v>21</v>
      </c>
      <c r="V90" s="828"/>
      <c r="W90" s="829"/>
      <c r="Y90" s="1009">
        <f t="shared" si="1"/>
        <v>0</v>
      </c>
      <c r="Z90" s="599"/>
      <c r="AA90" s="599"/>
      <c r="AB90" s="599"/>
      <c r="AC90" s="599"/>
      <c r="AD90" s="599"/>
      <c r="AE90" s="599"/>
      <c r="AF90" s="599"/>
      <c r="AG90" s="599"/>
      <c r="AH90" s="599"/>
      <c r="AI90" s="649"/>
      <c r="AJ90" s="649"/>
      <c r="AK90" s="649"/>
      <c r="AL90" s="147"/>
    </row>
    <row r="91" spans="1:38">
      <c r="A91" s="4"/>
      <c r="B91" s="542">
        <v>22</v>
      </c>
      <c r="C91" s="826"/>
      <c r="D91" s="827"/>
      <c r="F91" s="1008">
        <f t="shared" si="0"/>
        <v>0</v>
      </c>
      <c r="G91" s="514"/>
      <c r="H91" s="1010"/>
      <c r="I91" s="1010"/>
      <c r="J91" s="1010"/>
      <c r="K91" s="1010"/>
      <c r="L91" s="1010"/>
      <c r="M91" s="1010"/>
      <c r="N91" s="1010"/>
      <c r="O91" s="1010"/>
      <c r="P91" s="1010"/>
      <c r="Q91" s="1010"/>
      <c r="R91" s="1010"/>
      <c r="S91" s="15"/>
      <c r="T91" s="4"/>
      <c r="U91" s="542">
        <v>22</v>
      </c>
      <c r="V91" s="828"/>
      <c r="W91" s="829"/>
      <c r="Y91" s="1009">
        <f t="shared" si="1"/>
        <v>0</v>
      </c>
      <c r="Z91" s="599"/>
      <c r="AA91" s="599"/>
      <c r="AB91" s="599"/>
      <c r="AC91" s="599"/>
      <c r="AD91" s="599"/>
      <c r="AE91" s="599"/>
      <c r="AF91" s="599"/>
      <c r="AG91" s="599"/>
      <c r="AH91" s="599"/>
      <c r="AI91" s="649"/>
      <c r="AJ91" s="649"/>
      <c r="AK91" s="649"/>
      <c r="AL91" s="147"/>
    </row>
    <row r="92" spans="1:38">
      <c r="A92" s="4"/>
      <c r="B92" s="542">
        <v>23</v>
      </c>
      <c r="C92" s="826"/>
      <c r="D92" s="827"/>
      <c r="F92" s="1008">
        <f t="shared" si="0"/>
        <v>0</v>
      </c>
      <c r="G92" s="514"/>
      <c r="H92" s="1010"/>
      <c r="I92" s="1010"/>
      <c r="J92" s="1010"/>
      <c r="K92" s="1010"/>
      <c r="L92" s="1010"/>
      <c r="M92" s="1010"/>
      <c r="N92" s="1010"/>
      <c r="O92" s="1010"/>
      <c r="P92" s="1010"/>
      <c r="Q92" s="1010"/>
      <c r="R92" s="1010"/>
      <c r="S92" s="15"/>
      <c r="T92" s="4"/>
      <c r="U92" s="542">
        <v>23</v>
      </c>
      <c r="V92" s="828"/>
      <c r="W92" s="829"/>
      <c r="Y92" s="1009">
        <f t="shared" si="1"/>
        <v>0</v>
      </c>
      <c r="Z92" s="599"/>
      <c r="AA92" s="599"/>
      <c r="AB92" s="599"/>
      <c r="AC92" s="599"/>
      <c r="AD92" s="599"/>
      <c r="AE92" s="599"/>
      <c r="AF92" s="599"/>
      <c r="AG92" s="599"/>
      <c r="AH92" s="599"/>
      <c r="AI92" s="649"/>
      <c r="AJ92" s="649"/>
      <c r="AK92" s="649"/>
      <c r="AL92" s="147"/>
    </row>
    <row r="93" spans="1:38">
      <c r="A93" s="4"/>
      <c r="B93" s="542">
        <v>24</v>
      </c>
      <c r="C93" s="826"/>
      <c r="D93" s="827"/>
      <c r="F93" s="1008">
        <f t="shared" si="0"/>
        <v>0</v>
      </c>
      <c r="G93" s="514"/>
      <c r="H93" s="1010"/>
      <c r="I93" s="1010"/>
      <c r="J93" s="1010"/>
      <c r="K93" s="1010"/>
      <c r="L93" s="1010"/>
      <c r="M93" s="1010"/>
      <c r="N93" s="1010"/>
      <c r="O93" s="1010"/>
      <c r="P93" s="1010"/>
      <c r="Q93" s="1010"/>
      <c r="R93" s="1010"/>
      <c r="S93" s="15"/>
      <c r="T93" s="4"/>
      <c r="U93" s="542">
        <v>24</v>
      </c>
      <c r="V93" s="828"/>
      <c r="W93" s="829"/>
      <c r="Y93" s="1009">
        <f t="shared" si="1"/>
        <v>0</v>
      </c>
      <c r="Z93" s="599"/>
      <c r="AA93" s="599"/>
      <c r="AB93" s="599"/>
      <c r="AC93" s="599"/>
      <c r="AD93" s="599"/>
      <c r="AE93" s="599"/>
      <c r="AF93" s="599"/>
      <c r="AG93" s="599"/>
      <c r="AH93" s="599"/>
      <c r="AI93" s="649"/>
      <c r="AJ93" s="649"/>
      <c r="AK93" s="649"/>
      <c r="AL93" s="147"/>
    </row>
    <row r="94" spans="1:38">
      <c r="A94" s="4"/>
      <c r="B94" s="542">
        <v>25</v>
      </c>
      <c r="C94" s="826"/>
      <c r="D94" s="827"/>
      <c r="F94" s="1008">
        <f t="shared" si="0"/>
        <v>0</v>
      </c>
      <c r="G94" s="514"/>
      <c r="H94" s="1010"/>
      <c r="I94" s="1010"/>
      <c r="J94" s="1010"/>
      <c r="K94" s="1010"/>
      <c r="L94" s="1010"/>
      <c r="M94" s="1010"/>
      <c r="N94" s="1010"/>
      <c r="O94" s="1010"/>
      <c r="P94" s="1010"/>
      <c r="Q94" s="1010"/>
      <c r="R94" s="1010"/>
      <c r="S94" s="15"/>
      <c r="T94" s="4"/>
      <c r="U94" s="542">
        <v>25</v>
      </c>
      <c r="V94" s="828"/>
      <c r="W94" s="829"/>
      <c r="Y94" s="1009">
        <f t="shared" si="1"/>
        <v>0</v>
      </c>
      <c r="Z94" s="599"/>
      <c r="AA94" s="599"/>
      <c r="AB94" s="599"/>
      <c r="AC94" s="599"/>
      <c r="AD94" s="599"/>
      <c r="AE94" s="599"/>
      <c r="AF94" s="599"/>
      <c r="AG94" s="599"/>
      <c r="AH94" s="599"/>
      <c r="AI94" s="649"/>
      <c r="AJ94" s="649"/>
      <c r="AK94" s="649"/>
      <c r="AL94" s="147"/>
    </row>
    <row r="95" spans="1:38">
      <c r="A95" s="4"/>
      <c r="B95" s="542">
        <v>26</v>
      </c>
      <c r="C95" s="826"/>
      <c r="D95" s="827"/>
      <c r="F95" s="1008">
        <f t="shared" si="0"/>
        <v>0</v>
      </c>
      <c r="G95" s="514"/>
      <c r="H95" s="1010"/>
      <c r="I95" s="1010"/>
      <c r="J95" s="1010"/>
      <c r="K95" s="1010"/>
      <c r="L95" s="1010"/>
      <c r="M95" s="1010"/>
      <c r="N95" s="1010"/>
      <c r="O95" s="1010"/>
      <c r="P95" s="1010"/>
      <c r="Q95" s="1010"/>
      <c r="R95" s="1010"/>
      <c r="S95" s="15"/>
      <c r="T95" s="4"/>
      <c r="U95" s="542">
        <v>26</v>
      </c>
      <c r="V95" s="828"/>
      <c r="W95" s="829"/>
      <c r="Y95" s="1009">
        <f t="shared" si="1"/>
        <v>0</v>
      </c>
      <c r="Z95" s="599"/>
      <c r="AA95" s="599"/>
      <c r="AB95" s="599"/>
      <c r="AC95" s="599"/>
      <c r="AD95" s="599"/>
      <c r="AE95" s="599"/>
      <c r="AF95" s="599"/>
      <c r="AG95" s="599"/>
      <c r="AH95" s="599"/>
      <c r="AI95" s="649"/>
      <c r="AJ95" s="649"/>
      <c r="AK95" s="649"/>
      <c r="AL95" s="147"/>
    </row>
    <row r="96" spans="1:38">
      <c r="A96" s="4"/>
      <c r="B96" s="542">
        <v>27</v>
      </c>
      <c r="C96" s="826"/>
      <c r="D96" s="827"/>
      <c r="F96" s="1008">
        <f t="shared" si="0"/>
        <v>0</v>
      </c>
      <c r="G96" s="514"/>
      <c r="H96" s="1010"/>
      <c r="I96" s="1010"/>
      <c r="J96" s="1010"/>
      <c r="K96" s="1010"/>
      <c r="L96" s="1010"/>
      <c r="M96" s="1010"/>
      <c r="N96" s="1010"/>
      <c r="O96" s="1010"/>
      <c r="P96" s="1010"/>
      <c r="Q96" s="1010"/>
      <c r="R96" s="1010"/>
      <c r="S96" s="15"/>
      <c r="T96" s="4"/>
      <c r="U96" s="542">
        <v>27</v>
      </c>
      <c r="V96" s="828"/>
      <c r="W96" s="829"/>
      <c r="Y96" s="1009">
        <f t="shared" si="1"/>
        <v>0</v>
      </c>
      <c r="Z96" s="599"/>
      <c r="AA96" s="599"/>
      <c r="AB96" s="599"/>
      <c r="AC96" s="599"/>
      <c r="AD96" s="599"/>
      <c r="AE96" s="599"/>
      <c r="AF96" s="599"/>
      <c r="AG96" s="599"/>
      <c r="AH96" s="599"/>
      <c r="AI96" s="649"/>
      <c r="AJ96" s="649"/>
      <c r="AK96" s="649"/>
      <c r="AL96" s="147"/>
    </row>
    <row r="97" spans="1:38">
      <c r="A97" s="4"/>
      <c r="B97" s="542">
        <v>28</v>
      </c>
      <c r="C97" s="826"/>
      <c r="D97" s="827"/>
      <c r="F97" s="1008">
        <f t="shared" si="0"/>
        <v>0</v>
      </c>
      <c r="G97" s="514"/>
      <c r="H97" s="1010"/>
      <c r="I97" s="1010"/>
      <c r="J97" s="1010"/>
      <c r="K97" s="1010"/>
      <c r="L97" s="1010"/>
      <c r="M97" s="1010"/>
      <c r="N97" s="1010"/>
      <c r="O97" s="1010"/>
      <c r="P97" s="1010"/>
      <c r="Q97" s="1010"/>
      <c r="R97" s="1010"/>
      <c r="S97" s="15"/>
      <c r="T97" s="4"/>
      <c r="U97" s="542">
        <v>28</v>
      </c>
      <c r="V97" s="828"/>
      <c r="W97" s="829"/>
      <c r="Y97" s="1009">
        <f t="shared" si="1"/>
        <v>0</v>
      </c>
      <c r="Z97" s="599"/>
      <c r="AA97" s="599"/>
      <c r="AB97" s="599"/>
      <c r="AC97" s="599"/>
      <c r="AD97" s="599"/>
      <c r="AE97" s="599"/>
      <c r="AF97" s="599"/>
      <c r="AG97" s="599"/>
      <c r="AH97" s="599"/>
      <c r="AI97" s="649"/>
      <c r="AJ97" s="649"/>
      <c r="AK97" s="649"/>
      <c r="AL97" s="147"/>
    </row>
    <row r="98" spans="1:38">
      <c r="A98" s="4"/>
      <c r="B98" s="542">
        <v>29</v>
      </c>
      <c r="C98" s="826"/>
      <c r="D98" s="827"/>
      <c r="F98" s="1008">
        <f t="shared" si="0"/>
        <v>0</v>
      </c>
      <c r="G98" s="514"/>
      <c r="H98" s="1010"/>
      <c r="I98" s="1010"/>
      <c r="J98" s="1010"/>
      <c r="K98" s="1010"/>
      <c r="L98" s="1010"/>
      <c r="M98" s="1010"/>
      <c r="N98" s="1010"/>
      <c r="O98" s="1010"/>
      <c r="P98" s="1010"/>
      <c r="Q98" s="1010"/>
      <c r="R98" s="1010"/>
      <c r="S98" s="15"/>
      <c r="T98" s="4"/>
      <c r="U98" s="542">
        <v>29</v>
      </c>
      <c r="V98" s="828"/>
      <c r="W98" s="829"/>
      <c r="Y98" s="1009">
        <f t="shared" si="1"/>
        <v>0</v>
      </c>
      <c r="Z98" s="599"/>
      <c r="AA98" s="599"/>
      <c r="AB98" s="599"/>
      <c r="AC98" s="599"/>
      <c r="AD98" s="599"/>
      <c r="AE98" s="599"/>
      <c r="AF98" s="599"/>
      <c r="AG98" s="599"/>
      <c r="AH98" s="599"/>
      <c r="AI98" s="649"/>
      <c r="AJ98" s="649"/>
      <c r="AK98" s="649"/>
      <c r="AL98" s="147"/>
    </row>
    <row r="99" spans="1:38">
      <c r="A99" s="4"/>
      <c r="B99" s="542">
        <v>30</v>
      </c>
      <c r="C99" s="826"/>
      <c r="D99" s="827"/>
      <c r="F99" s="1008">
        <f t="shared" si="0"/>
        <v>0</v>
      </c>
      <c r="G99" s="514"/>
      <c r="H99" s="514"/>
      <c r="I99" s="514"/>
      <c r="J99" s="514"/>
      <c r="K99" s="514"/>
      <c r="L99" s="514"/>
      <c r="M99" s="514"/>
      <c r="N99" s="514"/>
      <c r="O99" s="514"/>
      <c r="P99" s="514"/>
      <c r="Q99" s="514"/>
      <c r="S99" s="15"/>
      <c r="T99" s="4"/>
      <c r="U99" s="542">
        <v>30</v>
      </c>
      <c r="V99" s="828"/>
      <c r="W99" s="829"/>
      <c r="Y99" s="1009">
        <f t="shared" si="1"/>
        <v>0</v>
      </c>
      <c r="Z99" s="599"/>
      <c r="AA99" s="599"/>
      <c r="AB99" s="599"/>
      <c r="AC99" s="599"/>
      <c r="AD99" s="599"/>
      <c r="AE99" s="599"/>
      <c r="AF99" s="599"/>
      <c r="AG99" s="599"/>
      <c r="AH99" s="599"/>
      <c r="AI99" s="649"/>
      <c r="AJ99" s="649"/>
      <c r="AK99" s="649"/>
      <c r="AL99" s="147"/>
    </row>
    <row r="100" spans="1:38">
      <c r="A100" s="4"/>
      <c r="B100" s="542">
        <v>31</v>
      </c>
      <c r="C100" s="826"/>
      <c r="D100" s="827"/>
      <c r="F100" s="1008">
        <f t="shared" si="0"/>
        <v>0</v>
      </c>
      <c r="G100" s="514"/>
      <c r="H100" s="514"/>
      <c r="I100" s="514"/>
      <c r="J100" s="514"/>
      <c r="K100" s="514"/>
      <c r="L100" s="514"/>
      <c r="M100" s="514"/>
      <c r="N100" s="514"/>
      <c r="O100" s="514"/>
      <c r="P100" s="514"/>
      <c r="Q100" s="514"/>
      <c r="S100" s="15"/>
      <c r="T100" s="4"/>
      <c r="U100" s="542">
        <v>31</v>
      </c>
      <c r="V100" s="828"/>
      <c r="W100" s="829"/>
      <c r="Y100" s="1009">
        <f t="shared" si="1"/>
        <v>0</v>
      </c>
      <c r="Z100" s="599"/>
      <c r="AA100" s="599"/>
      <c r="AB100" s="599"/>
      <c r="AC100" s="599"/>
      <c r="AD100" s="599"/>
      <c r="AE100" s="599"/>
      <c r="AF100" s="599"/>
      <c r="AG100" s="599"/>
      <c r="AH100" s="599"/>
      <c r="AI100" s="649"/>
      <c r="AJ100" s="649"/>
      <c r="AK100" s="649"/>
      <c r="AL100" s="147"/>
    </row>
    <row r="101" spans="1:38">
      <c r="A101" s="4"/>
      <c r="B101" s="542">
        <v>32</v>
      </c>
      <c r="C101" s="826"/>
      <c r="D101" s="827"/>
      <c r="F101" s="1008">
        <f t="shared" si="0"/>
        <v>0</v>
      </c>
      <c r="G101" s="514"/>
      <c r="H101" s="514"/>
      <c r="I101" s="514"/>
      <c r="J101" s="514"/>
      <c r="K101" s="514"/>
      <c r="L101" s="514"/>
      <c r="M101" s="514"/>
      <c r="N101" s="514"/>
      <c r="O101" s="514"/>
      <c r="P101" s="514"/>
      <c r="Q101" s="514"/>
      <c r="S101" s="15"/>
      <c r="T101" s="4"/>
      <c r="U101" s="542">
        <v>32</v>
      </c>
      <c r="V101" s="828"/>
      <c r="W101" s="829"/>
      <c r="Y101" s="1009">
        <f t="shared" si="1"/>
        <v>0</v>
      </c>
      <c r="Z101" s="599"/>
      <c r="AA101" s="599"/>
      <c r="AB101" s="599"/>
      <c r="AC101" s="599"/>
      <c r="AD101" s="599"/>
      <c r="AE101" s="599"/>
      <c r="AF101" s="599"/>
      <c r="AG101" s="599"/>
      <c r="AH101" s="599"/>
      <c r="AI101" s="649"/>
      <c r="AJ101" s="649"/>
      <c r="AK101" s="649"/>
      <c r="AL101" s="147"/>
    </row>
    <row r="102" spans="1:38">
      <c r="A102" s="4"/>
      <c r="B102" s="542">
        <v>33</v>
      </c>
      <c r="C102" s="826"/>
      <c r="D102" s="827"/>
      <c r="F102" s="1008">
        <f t="shared" si="0"/>
        <v>0</v>
      </c>
      <c r="G102" s="514"/>
      <c r="H102" s="514"/>
      <c r="I102" s="514"/>
      <c r="J102" s="514"/>
      <c r="K102" s="514"/>
      <c r="L102" s="514"/>
      <c r="M102" s="514"/>
      <c r="N102" s="514"/>
      <c r="O102" s="514"/>
      <c r="P102" s="514"/>
      <c r="Q102" s="514"/>
      <c r="S102" s="15"/>
      <c r="T102" s="4"/>
      <c r="U102" s="542">
        <v>33</v>
      </c>
      <c r="V102" s="828"/>
      <c r="W102" s="829"/>
      <c r="Y102" s="1009">
        <f t="shared" si="1"/>
        <v>0</v>
      </c>
      <c r="Z102" s="599"/>
      <c r="AA102" s="599"/>
      <c r="AB102" s="599"/>
      <c r="AC102" s="599"/>
      <c r="AD102" s="599"/>
      <c r="AE102" s="599"/>
      <c r="AF102" s="599"/>
      <c r="AG102" s="599"/>
      <c r="AH102" s="599"/>
      <c r="AI102" s="649"/>
      <c r="AJ102" s="649"/>
      <c r="AK102" s="649"/>
      <c r="AL102" s="147"/>
    </row>
    <row r="103" spans="1:38">
      <c r="A103" s="4"/>
      <c r="B103" s="542">
        <v>34</v>
      </c>
      <c r="C103" s="826"/>
      <c r="D103" s="827"/>
      <c r="F103" s="1008">
        <f t="shared" si="0"/>
        <v>0</v>
      </c>
      <c r="G103" s="514"/>
      <c r="H103" s="514"/>
      <c r="I103" s="514"/>
      <c r="J103" s="514"/>
      <c r="K103" s="514"/>
      <c r="L103" s="514"/>
      <c r="M103" s="514"/>
      <c r="N103" s="514"/>
      <c r="O103" s="514"/>
      <c r="P103" s="514"/>
      <c r="Q103" s="514"/>
      <c r="S103" s="15"/>
      <c r="T103" s="4"/>
      <c r="U103" s="542">
        <v>34</v>
      </c>
      <c r="V103" s="828"/>
      <c r="W103" s="829"/>
      <c r="Y103" s="1009">
        <f t="shared" si="1"/>
        <v>0</v>
      </c>
      <c r="Z103" s="599"/>
      <c r="AA103" s="599"/>
      <c r="AB103" s="599"/>
      <c r="AC103" s="599"/>
      <c r="AD103" s="599"/>
      <c r="AE103" s="599"/>
      <c r="AF103" s="599"/>
      <c r="AG103" s="599"/>
      <c r="AH103" s="599"/>
      <c r="AI103" s="649"/>
      <c r="AJ103" s="649"/>
      <c r="AK103" s="649"/>
      <c r="AL103" s="147"/>
    </row>
    <row r="104" spans="1:38">
      <c r="A104" s="4"/>
      <c r="B104" s="542">
        <v>35</v>
      </c>
      <c r="C104" s="826"/>
      <c r="D104" s="827"/>
      <c r="F104" s="1008">
        <f t="shared" si="0"/>
        <v>0</v>
      </c>
      <c r="G104" s="514"/>
      <c r="H104" s="514"/>
      <c r="I104" s="514"/>
      <c r="J104" s="514"/>
      <c r="K104" s="514"/>
      <c r="L104" s="514"/>
      <c r="M104" s="514"/>
      <c r="N104" s="514"/>
      <c r="O104" s="514"/>
      <c r="P104" s="514"/>
      <c r="Q104" s="514"/>
      <c r="S104" s="15"/>
      <c r="T104" s="4"/>
      <c r="U104" s="542">
        <v>35</v>
      </c>
      <c r="V104" s="828"/>
      <c r="W104" s="829"/>
      <c r="Y104" s="1009">
        <f t="shared" si="1"/>
        <v>0</v>
      </c>
      <c r="Z104" s="599"/>
      <c r="AA104" s="599"/>
      <c r="AB104" s="599"/>
      <c r="AC104" s="599"/>
      <c r="AD104" s="599"/>
      <c r="AE104" s="599"/>
      <c r="AF104" s="599"/>
      <c r="AG104" s="599"/>
      <c r="AH104" s="599"/>
      <c r="AI104" s="649"/>
      <c r="AJ104" s="649"/>
      <c r="AK104" s="649"/>
      <c r="AL104" s="147"/>
    </row>
    <row r="105" spans="1:38">
      <c r="A105" s="4"/>
      <c r="B105" s="542">
        <v>36</v>
      </c>
      <c r="C105" s="826"/>
      <c r="D105" s="827"/>
      <c r="F105" s="1008">
        <f t="shared" si="0"/>
        <v>0</v>
      </c>
      <c r="G105" s="514"/>
      <c r="H105" s="514"/>
      <c r="I105" s="514"/>
      <c r="J105" s="514"/>
      <c r="K105" s="514"/>
      <c r="L105" s="514"/>
      <c r="M105" s="514"/>
      <c r="N105" s="514"/>
      <c r="O105" s="514"/>
      <c r="P105" s="514"/>
      <c r="Q105" s="514"/>
      <c r="S105" s="15"/>
      <c r="T105" s="4"/>
      <c r="U105" s="542">
        <v>36</v>
      </c>
      <c r="V105" s="828"/>
      <c r="W105" s="829"/>
      <c r="Y105" s="1009">
        <f t="shared" si="1"/>
        <v>0</v>
      </c>
      <c r="Z105" s="599"/>
      <c r="AA105" s="599"/>
      <c r="AB105" s="599"/>
      <c r="AC105" s="599"/>
      <c r="AD105" s="599"/>
      <c r="AE105" s="599"/>
      <c r="AF105" s="599"/>
      <c r="AG105" s="599"/>
      <c r="AH105" s="599"/>
      <c r="AI105" s="649"/>
      <c r="AJ105" s="649"/>
      <c r="AK105" s="649"/>
      <c r="AL105" s="147"/>
    </row>
    <row r="106" spans="1:38">
      <c r="A106" s="4"/>
      <c r="B106" s="542">
        <v>37</v>
      </c>
      <c r="C106" s="826"/>
      <c r="D106" s="827"/>
      <c r="F106" s="1008">
        <f t="shared" si="0"/>
        <v>0</v>
      </c>
      <c r="G106" s="514"/>
      <c r="H106" s="514"/>
      <c r="I106" s="514"/>
      <c r="J106" s="514"/>
      <c r="K106" s="514"/>
      <c r="L106" s="514"/>
      <c r="M106" s="514"/>
      <c r="N106" s="514"/>
      <c r="O106" s="514"/>
      <c r="P106" s="514"/>
      <c r="Q106" s="514"/>
      <c r="S106" s="15"/>
      <c r="T106" s="4"/>
      <c r="U106" s="542">
        <v>37</v>
      </c>
      <c r="V106" s="828"/>
      <c r="W106" s="829"/>
      <c r="Y106" s="1009">
        <f t="shared" si="1"/>
        <v>0</v>
      </c>
      <c r="Z106" s="599"/>
      <c r="AA106" s="599"/>
      <c r="AB106" s="599"/>
      <c r="AC106" s="599"/>
      <c r="AD106" s="599"/>
      <c r="AE106" s="599"/>
      <c r="AF106" s="599"/>
      <c r="AG106" s="599"/>
      <c r="AH106" s="599"/>
      <c r="AI106" s="649"/>
      <c r="AJ106" s="649"/>
      <c r="AK106" s="649"/>
      <c r="AL106" s="147"/>
    </row>
    <row r="107" spans="1:38">
      <c r="A107" s="4"/>
      <c r="B107" s="542">
        <v>38</v>
      </c>
      <c r="C107" s="826"/>
      <c r="D107" s="827"/>
      <c r="F107" s="1008">
        <f t="shared" si="0"/>
        <v>0</v>
      </c>
      <c r="G107" s="514"/>
      <c r="H107" s="514"/>
      <c r="I107" s="514"/>
      <c r="J107" s="514"/>
      <c r="K107" s="514"/>
      <c r="L107" s="514"/>
      <c r="M107" s="514"/>
      <c r="N107" s="514"/>
      <c r="O107" s="514"/>
      <c r="P107" s="514"/>
      <c r="Q107" s="514"/>
      <c r="S107" s="15"/>
      <c r="T107" s="4"/>
      <c r="U107" s="542">
        <v>38</v>
      </c>
      <c r="V107" s="828"/>
      <c r="W107" s="829"/>
      <c r="Y107" s="1009">
        <f t="shared" si="1"/>
        <v>0</v>
      </c>
      <c r="Z107" s="599"/>
      <c r="AA107" s="599"/>
      <c r="AB107" s="599"/>
      <c r="AC107" s="599"/>
      <c r="AD107" s="599"/>
      <c r="AE107" s="599"/>
      <c r="AF107" s="599"/>
      <c r="AG107" s="599"/>
      <c r="AH107" s="599"/>
      <c r="AI107" s="649"/>
      <c r="AJ107" s="649"/>
      <c r="AK107" s="649"/>
      <c r="AL107" s="147"/>
    </row>
    <row r="108" spans="1:38">
      <c r="A108" s="4"/>
      <c r="B108" s="542">
        <v>39</v>
      </c>
      <c r="C108" s="826"/>
      <c r="D108" s="827"/>
      <c r="F108" s="1008">
        <f t="shared" si="0"/>
        <v>0</v>
      </c>
      <c r="G108" s="514"/>
      <c r="H108" s="514"/>
      <c r="I108" s="514"/>
      <c r="J108" s="514"/>
      <c r="K108" s="514"/>
      <c r="L108" s="514"/>
      <c r="M108" s="514"/>
      <c r="N108" s="514"/>
      <c r="O108" s="514"/>
      <c r="P108" s="514"/>
      <c r="Q108" s="514"/>
      <c r="S108" s="15"/>
      <c r="T108" s="4"/>
      <c r="U108" s="542">
        <v>39</v>
      </c>
      <c r="V108" s="828"/>
      <c r="W108" s="829"/>
      <c r="Y108" s="1009">
        <f t="shared" si="1"/>
        <v>0</v>
      </c>
      <c r="Z108" s="599"/>
      <c r="AA108" s="599"/>
      <c r="AB108" s="599"/>
      <c r="AC108" s="599"/>
      <c r="AD108" s="599"/>
      <c r="AE108" s="599"/>
      <c r="AF108" s="599"/>
      <c r="AG108" s="599"/>
      <c r="AH108" s="599"/>
      <c r="AI108" s="649"/>
      <c r="AJ108" s="649"/>
      <c r="AK108" s="649"/>
      <c r="AL108" s="147"/>
    </row>
    <row r="109" spans="1:38">
      <c r="A109" s="4"/>
      <c r="B109" s="542">
        <v>40</v>
      </c>
      <c r="C109" s="826"/>
      <c r="D109" s="827"/>
      <c r="F109" s="1008">
        <f t="shared" si="0"/>
        <v>0</v>
      </c>
      <c r="G109" s="514"/>
      <c r="H109" s="514"/>
      <c r="I109" s="514"/>
      <c r="J109" s="514"/>
      <c r="K109" s="514"/>
      <c r="L109" s="514"/>
      <c r="M109" s="514"/>
      <c r="N109" s="514"/>
      <c r="O109" s="514"/>
      <c r="P109" s="514"/>
      <c r="Q109" s="514"/>
      <c r="S109" s="15"/>
      <c r="T109" s="4"/>
      <c r="U109" s="542">
        <v>40</v>
      </c>
      <c r="V109" s="828"/>
      <c r="W109" s="829"/>
      <c r="Y109" s="1009">
        <f t="shared" si="1"/>
        <v>0</v>
      </c>
      <c r="Z109" s="599"/>
      <c r="AA109" s="599"/>
      <c r="AB109" s="599"/>
      <c r="AC109" s="599"/>
      <c r="AD109" s="599"/>
      <c r="AE109" s="599"/>
      <c r="AF109" s="599"/>
      <c r="AG109" s="599"/>
      <c r="AH109" s="599"/>
      <c r="AI109" s="649"/>
      <c r="AJ109" s="649"/>
      <c r="AK109" s="649"/>
      <c r="AL109" s="147"/>
    </row>
    <row r="110" spans="1:38">
      <c r="A110" s="4"/>
      <c r="B110" s="542">
        <v>41</v>
      </c>
      <c r="C110" s="826"/>
      <c r="D110" s="827"/>
      <c r="F110" s="1008">
        <f t="shared" si="0"/>
        <v>0</v>
      </c>
      <c r="G110" s="514"/>
      <c r="H110" s="514"/>
      <c r="I110" s="514"/>
      <c r="J110" s="514"/>
      <c r="K110" s="514"/>
      <c r="L110" s="514"/>
      <c r="M110" s="514"/>
      <c r="N110" s="514"/>
      <c r="O110" s="514"/>
      <c r="P110" s="514"/>
      <c r="Q110" s="514"/>
      <c r="S110" s="15"/>
      <c r="T110" s="4"/>
      <c r="U110" s="542">
        <v>41</v>
      </c>
      <c r="V110" s="828"/>
      <c r="W110" s="829"/>
      <c r="Y110" s="1009">
        <f t="shared" si="1"/>
        <v>0</v>
      </c>
      <c r="Z110" s="599"/>
      <c r="AA110" s="599"/>
      <c r="AB110" s="599"/>
      <c r="AC110" s="599"/>
      <c r="AD110" s="599"/>
      <c r="AE110" s="599"/>
      <c r="AF110" s="599"/>
      <c r="AG110" s="599"/>
      <c r="AH110" s="599"/>
      <c r="AI110" s="649"/>
      <c r="AJ110" s="649"/>
      <c r="AK110" s="649"/>
      <c r="AL110" s="147"/>
    </row>
    <row r="111" spans="1:38">
      <c r="A111" s="4"/>
      <c r="B111" s="542">
        <v>42</v>
      </c>
      <c r="C111" s="826"/>
      <c r="D111" s="827"/>
      <c r="F111" s="1008">
        <f t="shared" si="0"/>
        <v>0</v>
      </c>
      <c r="G111" s="514"/>
      <c r="H111" s="514"/>
      <c r="I111" s="514"/>
      <c r="J111" s="514"/>
      <c r="K111" s="514"/>
      <c r="L111" s="514"/>
      <c r="M111" s="514"/>
      <c r="N111" s="514"/>
      <c r="O111" s="514"/>
      <c r="P111" s="514"/>
      <c r="Q111" s="514"/>
      <c r="S111" s="15"/>
      <c r="T111" s="4"/>
      <c r="U111" s="542">
        <v>42</v>
      </c>
      <c r="V111" s="828"/>
      <c r="W111" s="829"/>
      <c r="Y111" s="1009">
        <f t="shared" si="1"/>
        <v>0</v>
      </c>
      <c r="Z111" s="599"/>
      <c r="AA111" s="599"/>
      <c r="AB111" s="599"/>
      <c r="AC111" s="599"/>
      <c r="AD111" s="599"/>
      <c r="AE111" s="599"/>
      <c r="AF111" s="599"/>
      <c r="AG111" s="599"/>
      <c r="AH111" s="599"/>
      <c r="AI111" s="649"/>
      <c r="AJ111" s="649"/>
      <c r="AK111" s="649"/>
      <c r="AL111" s="147"/>
    </row>
    <row r="112" spans="1:38">
      <c r="A112" s="4"/>
      <c r="B112" s="542">
        <v>43</v>
      </c>
      <c r="C112" s="826"/>
      <c r="D112" s="827"/>
      <c r="F112" s="1008">
        <f t="shared" si="0"/>
        <v>0</v>
      </c>
      <c r="G112" s="514"/>
      <c r="H112" s="514"/>
      <c r="I112" s="514"/>
      <c r="J112" s="514"/>
      <c r="K112" s="514"/>
      <c r="L112" s="514"/>
      <c r="M112" s="514"/>
      <c r="N112" s="514"/>
      <c r="O112" s="514"/>
      <c r="P112" s="514"/>
      <c r="Q112" s="514"/>
      <c r="S112" s="15"/>
      <c r="T112" s="4"/>
      <c r="U112" s="542">
        <v>43</v>
      </c>
      <c r="V112" s="828"/>
      <c r="W112" s="829"/>
      <c r="Y112" s="1009">
        <f t="shared" si="1"/>
        <v>0</v>
      </c>
      <c r="Z112" s="599"/>
      <c r="AA112" s="599"/>
      <c r="AB112" s="599"/>
      <c r="AC112" s="599"/>
      <c r="AD112" s="599"/>
      <c r="AE112" s="599"/>
      <c r="AF112" s="599"/>
      <c r="AG112" s="599"/>
      <c r="AH112" s="599"/>
      <c r="AI112" s="649"/>
      <c r="AJ112" s="649"/>
      <c r="AK112" s="649"/>
      <c r="AL112" s="147"/>
    </row>
    <row r="113" spans="1:38">
      <c r="A113" s="4"/>
      <c r="B113" s="542">
        <v>44</v>
      </c>
      <c r="C113" s="826"/>
      <c r="D113" s="827"/>
      <c r="F113" s="1008">
        <f t="shared" si="0"/>
        <v>0</v>
      </c>
      <c r="G113" s="514"/>
      <c r="H113" s="514"/>
      <c r="I113" s="514"/>
      <c r="J113" s="514"/>
      <c r="K113" s="514"/>
      <c r="L113" s="514"/>
      <c r="M113" s="514"/>
      <c r="N113" s="514"/>
      <c r="O113" s="514"/>
      <c r="P113" s="514"/>
      <c r="Q113" s="514"/>
      <c r="S113" s="15"/>
      <c r="T113" s="4"/>
      <c r="U113" s="542">
        <v>44</v>
      </c>
      <c r="V113" s="828"/>
      <c r="W113" s="829"/>
      <c r="Y113" s="1009">
        <f t="shared" si="1"/>
        <v>0</v>
      </c>
      <c r="Z113" s="599"/>
      <c r="AA113" s="599"/>
      <c r="AB113" s="599"/>
      <c r="AC113" s="599"/>
      <c r="AD113" s="599"/>
      <c r="AE113" s="599"/>
      <c r="AF113" s="599"/>
      <c r="AG113" s="599"/>
      <c r="AH113" s="599"/>
      <c r="AI113" s="649"/>
      <c r="AJ113" s="649"/>
      <c r="AK113" s="649"/>
      <c r="AL113" s="147"/>
    </row>
    <row r="114" spans="1:38">
      <c r="A114" s="4"/>
      <c r="B114" s="542">
        <v>45</v>
      </c>
      <c r="C114" s="826"/>
      <c r="D114" s="827"/>
      <c r="F114" s="1008">
        <f t="shared" si="0"/>
        <v>0</v>
      </c>
      <c r="G114" s="514"/>
      <c r="H114" s="514"/>
      <c r="I114" s="514"/>
      <c r="J114" s="514"/>
      <c r="K114" s="514"/>
      <c r="L114" s="514"/>
      <c r="M114" s="514"/>
      <c r="N114" s="514"/>
      <c r="O114" s="514"/>
      <c r="P114" s="514"/>
      <c r="Q114" s="514"/>
      <c r="S114" s="15"/>
      <c r="T114" s="4"/>
      <c r="U114" s="542">
        <v>45</v>
      </c>
      <c r="V114" s="828"/>
      <c r="W114" s="829"/>
      <c r="Y114" s="1009">
        <f t="shared" si="1"/>
        <v>0</v>
      </c>
      <c r="Z114" s="599"/>
      <c r="AA114" s="599"/>
      <c r="AB114" s="599"/>
      <c r="AC114" s="599"/>
      <c r="AD114" s="599"/>
      <c r="AE114" s="599"/>
      <c r="AF114" s="599"/>
      <c r="AG114" s="599"/>
      <c r="AH114" s="599"/>
      <c r="AI114" s="649"/>
      <c r="AJ114" s="649"/>
      <c r="AK114" s="649"/>
      <c r="AL114" s="147"/>
    </row>
    <row r="115" spans="1:38">
      <c r="A115" s="4"/>
      <c r="B115" s="542">
        <v>46</v>
      </c>
      <c r="C115" s="826"/>
      <c r="D115" s="827"/>
      <c r="F115" s="1008">
        <f t="shared" si="0"/>
        <v>0</v>
      </c>
      <c r="G115" s="514"/>
      <c r="H115" s="514"/>
      <c r="I115" s="514"/>
      <c r="J115" s="514"/>
      <c r="K115" s="514"/>
      <c r="L115" s="514"/>
      <c r="M115" s="514"/>
      <c r="N115" s="514"/>
      <c r="O115" s="514"/>
      <c r="P115" s="514"/>
      <c r="Q115" s="514"/>
      <c r="S115" s="15"/>
      <c r="T115" s="4"/>
      <c r="U115" s="542">
        <v>46</v>
      </c>
      <c r="V115" s="828"/>
      <c r="W115" s="829"/>
      <c r="Y115" s="1009">
        <f t="shared" si="1"/>
        <v>0</v>
      </c>
      <c r="Z115" s="599"/>
      <c r="AA115" s="599"/>
      <c r="AB115" s="599"/>
      <c r="AC115" s="599"/>
      <c r="AD115" s="599"/>
      <c r="AE115" s="599"/>
      <c r="AF115" s="599"/>
      <c r="AG115" s="599"/>
      <c r="AH115" s="599"/>
      <c r="AI115" s="649"/>
      <c r="AJ115" s="649"/>
      <c r="AK115" s="649"/>
      <c r="AL115" s="147"/>
    </row>
    <row r="116" spans="1:38">
      <c r="A116" s="4"/>
      <c r="B116" s="542">
        <v>47</v>
      </c>
      <c r="C116" s="826"/>
      <c r="D116" s="827"/>
      <c r="F116" s="1008">
        <f t="shared" si="0"/>
        <v>0</v>
      </c>
      <c r="G116" s="514"/>
      <c r="H116" s="514"/>
      <c r="I116" s="514"/>
      <c r="J116" s="514"/>
      <c r="K116" s="514"/>
      <c r="L116" s="514"/>
      <c r="M116" s="514"/>
      <c r="N116" s="514"/>
      <c r="O116" s="514"/>
      <c r="P116" s="514"/>
      <c r="Q116" s="514"/>
      <c r="S116" s="15"/>
      <c r="T116" s="4"/>
      <c r="U116" s="542">
        <v>47</v>
      </c>
      <c r="V116" s="828"/>
      <c r="W116" s="829"/>
      <c r="Y116" s="1009">
        <f t="shared" si="1"/>
        <v>0</v>
      </c>
      <c r="Z116" s="599"/>
      <c r="AA116" s="599"/>
      <c r="AB116" s="599"/>
      <c r="AC116" s="599"/>
      <c r="AD116" s="599"/>
      <c r="AE116" s="599"/>
      <c r="AF116" s="599"/>
      <c r="AG116" s="599"/>
      <c r="AH116" s="599"/>
      <c r="AI116" s="649"/>
      <c r="AJ116" s="649"/>
      <c r="AK116" s="649"/>
      <c r="AL116" s="147"/>
    </row>
    <row r="117" spans="1:38">
      <c r="A117" s="4"/>
      <c r="B117" s="542">
        <v>48</v>
      </c>
      <c r="C117" s="826"/>
      <c r="D117" s="827"/>
      <c r="F117" s="1008">
        <f t="shared" si="0"/>
        <v>0</v>
      </c>
      <c r="G117" s="514"/>
      <c r="H117" s="514"/>
      <c r="I117" s="514"/>
      <c r="J117" s="514"/>
      <c r="K117" s="514"/>
      <c r="L117" s="514"/>
      <c r="M117" s="514"/>
      <c r="N117" s="514"/>
      <c r="O117" s="514"/>
      <c r="P117" s="514"/>
      <c r="Q117" s="514"/>
      <c r="S117" s="15"/>
      <c r="T117" s="4"/>
      <c r="U117" s="542">
        <v>48</v>
      </c>
      <c r="V117" s="828"/>
      <c r="W117" s="829"/>
      <c r="Y117" s="1009">
        <f t="shared" si="1"/>
        <v>0</v>
      </c>
      <c r="Z117" s="599"/>
      <c r="AA117" s="599"/>
      <c r="AB117" s="599"/>
      <c r="AC117" s="599"/>
      <c r="AD117" s="599"/>
      <c r="AE117" s="599"/>
      <c r="AF117" s="599"/>
      <c r="AG117" s="599"/>
      <c r="AH117" s="599"/>
      <c r="AI117" s="649"/>
      <c r="AJ117" s="649"/>
      <c r="AK117" s="649"/>
      <c r="AL117" s="147"/>
    </row>
    <row r="118" spans="1:38">
      <c r="A118" s="4"/>
      <c r="B118" s="542">
        <v>49</v>
      </c>
      <c r="C118" s="826"/>
      <c r="D118" s="827"/>
      <c r="F118" s="1008">
        <f t="shared" si="0"/>
        <v>0</v>
      </c>
      <c r="G118" s="514"/>
      <c r="H118" s="514"/>
      <c r="I118" s="514"/>
      <c r="J118" s="514"/>
      <c r="K118" s="514"/>
      <c r="L118" s="514"/>
      <c r="M118" s="514"/>
      <c r="N118" s="514"/>
      <c r="O118" s="514"/>
      <c r="P118" s="514"/>
      <c r="Q118" s="514"/>
      <c r="S118" s="15"/>
      <c r="T118" s="4"/>
      <c r="U118" s="542">
        <v>49</v>
      </c>
      <c r="V118" s="828"/>
      <c r="W118" s="829"/>
      <c r="Y118" s="1009">
        <f t="shared" si="1"/>
        <v>0</v>
      </c>
      <c r="Z118" s="599"/>
      <c r="AA118" s="599"/>
      <c r="AB118" s="599"/>
      <c r="AC118" s="599"/>
      <c r="AD118" s="599"/>
      <c r="AE118" s="599"/>
      <c r="AF118" s="599"/>
      <c r="AG118" s="599"/>
      <c r="AH118" s="599"/>
      <c r="AI118" s="649"/>
      <c r="AJ118" s="649"/>
      <c r="AK118" s="649"/>
      <c r="AL118" s="147"/>
    </row>
    <row r="119" spans="1:38">
      <c r="A119" s="4"/>
      <c r="B119" s="542">
        <v>50</v>
      </c>
      <c r="C119" s="826"/>
      <c r="D119" s="827"/>
      <c r="F119" s="1008">
        <f t="shared" si="0"/>
        <v>0</v>
      </c>
      <c r="G119" s="514"/>
      <c r="H119" s="514"/>
      <c r="I119" s="514"/>
      <c r="J119" s="514"/>
      <c r="K119" s="514"/>
      <c r="L119" s="514"/>
      <c r="M119" s="514"/>
      <c r="N119" s="514"/>
      <c r="O119" s="514"/>
      <c r="P119" s="514"/>
      <c r="Q119" s="514"/>
      <c r="S119" s="15"/>
      <c r="T119" s="4"/>
      <c r="U119" s="542">
        <v>50</v>
      </c>
      <c r="V119" s="828"/>
      <c r="W119" s="829"/>
      <c r="Y119" s="1009">
        <f t="shared" si="1"/>
        <v>0</v>
      </c>
      <c r="Z119" s="599"/>
      <c r="AA119" s="599"/>
      <c r="AB119" s="599"/>
      <c r="AC119" s="599"/>
      <c r="AD119" s="599"/>
      <c r="AE119" s="599"/>
      <c r="AF119" s="599"/>
      <c r="AG119" s="599"/>
      <c r="AH119" s="599"/>
      <c r="AI119" s="649"/>
      <c r="AJ119" s="649"/>
      <c r="AK119" s="649"/>
      <c r="AL119" s="147"/>
    </row>
    <row r="120" spans="1:38">
      <c r="A120" s="4"/>
      <c r="B120" s="542">
        <v>51</v>
      </c>
      <c r="C120" s="826"/>
      <c r="D120" s="827"/>
      <c r="F120" s="1008">
        <f t="shared" si="0"/>
        <v>0</v>
      </c>
      <c r="G120" s="514"/>
      <c r="H120" s="514"/>
      <c r="I120" s="514"/>
      <c r="J120" s="514"/>
      <c r="K120" s="514"/>
      <c r="L120" s="514"/>
      <c r="M120" s="514"/>
      <c r="N120" s="514"/>
      <c r="O120" s="514"/>
      <c r="P120" s="514"/>
      <c r="Q120" s="514"/>
      <c r="S120" s="15"/>
      <c r="T120" s="4"/>
      <c r="U120" s="542">
        <v>51</v>
      </c>
      <c r="V120" s="828"/>
      <c r="W120" s="829"/>
      <c r="Y120" s="1009">
        <f t="shared" si="1"/>
        <v>0</v>
      </c>
      <c r="Z120" s="599"/>
      <c r="AA120" s="599"/>
      <c r="AB120" s="599"/>
      <c r="AC120" s="599"/>
      <c r="AD120" s="599"/>
      <c r="AE120" s="599"/>
      <c r="AF120" s="599"/>
      <c r="AG120" s="599"/>
      <c r="AH120" s="599"/>
      <c r="AI120" s="649"/>
      <c r="AJ120" s="649"/>
      <c r="AK120" s="649"/>
      <c r="AL120" s="147"/>
    </row>
    <row r="121" spans="1:38">
      <c r="A121" s="4"/>
      <c r="B121" s="542">
        <v>52</v>
      </c>
      <c r="C121" s="826"/>
      <c r="D121" s="827"/>
      <c r="F121" s="1008">
        <f t="shared" si="0"/>
        <v>0</v>
      </c>
      <c r="G121" s="514"/>
      <c r="H121" s="514"/>
      <c r="I121" s="514"/>
      <c r="J121" s="514"/>
      <c r="K121" s="514"/>
      <c r="L121" s="514"/>
      <c r="M121" s="514"/>
      <c r="N121" s="514"/>
      <c r="O121" s="514"/>
      <c r="P121" s="514"/>
      <c r="Q121" s="514"/>
      <c r="S121" s="15"/>
      <c r="T121" s="4"/>
      <c r="U121" s="542">
        <v>52</v>
      </c>
      <c r="V121" s="828"/>
      <c r="W121" s="829"/>
      <c r="Y121" s="1009">
        <f t="shared" si="1"/>
        <v>0</v>
      </c>
      <c r="Z121" s="599"/>
      <c r="AA121" s="599"/>
      <c r="AB121" s="599"/>
      <c r="AC121" s="599"/>
      <c r="AD121" s="599"/>
      <c r="AE121" s="599"/>
      <c r="AF121" s="599"/>
      <c r="AG121" s="599"/>
      <c r="AH121" s="599"/>
      <c r="AI121" s="649"/>
      <c r="AJ121" s="649"/>
      <c r="AK121" s="649"/>
      <c r="AL121" s="147"/>
    </row>
    <row r="122" spans="1:38">
      <c r="A122" s="4"/>
      <c r="B122" s="542">
        <v>53</v>
      </c>
      <c r="C122" s="826"/>
      <c r="D122" s="827"/>
      <c r="F122" s="1008">
        <f t="shared" si="0"/>
        <v>0</v>
      </c>
      <c r="G122" s="514"/>
      <c r="H122" s="514"/>
      <c r="I122" s="514"/>
      <c r="J122" s="514"/>
      <c r="K122" s="514"/>
      <c r="L122" s="514"/>
      <c r="M122" s="514"/>
      <c r="N122" s="514"/>
      <c r="O122" s="514"/>
      <c r="P122" s="514"/>
      <c r="Q122" s="514"/>
      <c r="S122" s="15"/>
      <c r="T122" s="4"/>
      <c r="U122" s="542">
        <v>53</v>
      </c>
      <c r="V122" s="828"/>
      <c r="W122" s="829"/>
      <c r="Y122" s="1009">
        <f t="shared" si="1"/>
        <v>0</v>
      </c>
      <c r="Z122" s="599"/>
      <c r="AA122" s="599"/>
      <c r="AB122" s="599"/>
      <c r="AC122" s="599"/>
      <c r="AD122" s="599"/>
      <c r="AE122" s="599"/>
      <c r="AF122" s="599"/>
      <c r="AG122" s="599"/>
      <c r="AH122" s="599"/>
      <c r="AI122" s="649"/>
      <c r="AJ122" s="649"/>
      <c r="AK122" s="649"/>
      <c r="AL122" s="147"/>
    </row>
    <row r="123" spans="1:38">
      <c r="A123" s="4"/>
      <c r="B123" s="542">
        <v>54</v>
      </c>
      <c r="C123" s="826"/>
      <c r="D123" s="827"/>
      <c r="F123" s="1008">
        <f t="shared" si="0"/>
        <v>0</v>
      </c>
      <c r="G123" s="514"/>
      <c r="H123" s="514"/>
      <c r="I123" s="514"/>
      <c r="J123" s="514"/>
      <c r="K123" s="514"/>
      <c r="L123" s="514"/>
      <c r="M123" s="514"/>
      <c r="N123" s="514"/>
      <c r="O123" s="514"/>
      <c r="P123" s="514"/>
      <c r="Q123" s="514"/>
      <c r="S123" s="15"/>
      <c r="T123" s="4"/>
      <c r="U123" s="542">
        <v>54</v>
      </c>
      <c r="V123" s="828"/>
      <c r="W123" s="829"/>
      <c r="Y123" s="1009">
        <f t="shared" si="1"/>
        <v>0</v>
      </c>
      <c r="Z123" s="599"/>
      <c r="AA123" s="599"/>
      <c r="AB123" s="599"/>
      <c r="AC123" s="599"/>
      <c r="AD123" s="599"/>
      <c r="AE123" s="599"/>
      <c r="AF123" s="599"/>
      <c r="AG123" s="599"/>
      <c r="AH123" s="599"/>
      <c r="AI123" s="649"/>
      <c r="AJ123" s="649"/>
      <c r="AK123" s="649"/>
      <c r="AL123" s="147"/>
    </row>
    <row r="124" spans="1:38">
      <c r="A124" s="4"/>
      <c r="B124" s="542">
        <v>55</v>
      </c>
      <c r="C124" s="826"/>
      <c r="D124" s="827"/>
      <c r="F124" s="1008">
        <f t="shared" si="0"/>
        <v>0</v>
      </c>
      <c r="G124" s="514"/>
      <c r="H124" s="514"/>
      <c r="I124" s="514"/>
      <c r="J124" s="514"/>
      <c r="K124" s="514"/>
      <c r="L124" s="514"/>
      <c r="M124" s="514"/>
      <c r="N124" s="514"/>
      <c r="O124" s="514"/>
      <c r="P124" s="514"/>
      <c r="Q124" s="514"/>
      <c r="S124" s="15"/>
      <c r="T124" s="4"/>
      <c r="U124" s="542">
        <v>55</v>
      </c>
      <c r="V124" s="828"/>
      <c r="W124" s="829"/>
      <c r="Y124" s="1009">
        <f t="shared" si="1"/>
        <v>0</v>
      </c>
      <c r="Z124" s="599"/>
      <c r="AA124" s="599"/>
      <c r="AB124" s="599"/>
      <c r="AC124" s="599"/>
      <c r="AD124" s="599"/>
      <c r="AE124" s="599"/>
      <c r="AF124" s="599"/>
      <c r="AG124" s="599"/>
      <c r="AH124" s="599"/>
      <c r="AI124" s="649"/>
      <c r="AJ124" s="649"/>
      <c r="AK124" s="649"/>
      <c r="AL124" s="147"/>
    </row>
    <row r="125" spans="1:38">
      <c r="A125" s="4"/>
      <c r="B125" s="542">
        <v>56</v>
      </c>
      <c r="C125" s="826"/>
      <c r="D125" s="827"/>
      <c r="F125" s="1008">
        <f t="shared" si="0"/>
        <v>0</v>
      </c>
      <c r="G125" s="514"/>
      <c r="H125" s="514"/>
      <c r="I125" s="514"/>
      <c r="J125" s="514"/>
      <c r="K125" s="514"/>
      <c r="L125" s="514"/>
      <c r="M125" s="514"/>
      <c r="N125" s="514"/>
      <c r="O125" s="514"/>
      <c r="P125" s="514"/>
      <c r="Q125" s="514"/>
      <c r="S125" s="15"/>
      <c r="T125" s="4"/>
      <c r="U125" s="542">
        <v>56</v>
      </c>
      <c r="V125" s="828"/>
      <c r="W125" s="829"/>
      <c r="Y125" s="1009">
        <f t="shared" si="1"/>
        <v>0</v>
      </c>
      <c r="Z125" s="599"/>
      <c r="AA125" s="599"/>
      <c r="AB125" s="599"/>
      <c r="AC125" s="599"/>
      <c r="AD125" s="599"/>
      <c r="AE125" s="599"/>
      <c r="AF125" s="599"/>
      <c r="AG125" s="599"/>
      <c r="AH125" s="599"/>
      <c r="AI125" s="649"/>
      <c r="AJ125" s="649"/>
      <c r="AK125" s="649"/>
      <c r="AL125" s="147"/>
    </row>
    <row r="126" spans="1:38">
      <c r="A126" s="4"/>
      <c r="B126" s="542">
        <v>57</v>
      </c>
      <c r="C126" s="826"/>
      <c r="D126" s="827"/>
      <c r="F126" s="1008">
        <f t="shared" si="0"/>
        <v>0</v>
      </c>
      <c r="G126" s="514"/>
      <c r="H126" s="514"/>
      <c r="I126" s="514"/>
      <c r="J126" s="514"/>
      <c r="K126" s="514"/>
      <c r="L126" s="514"/>
      <c r="M126" s="514"/>
      <c r="N126" s="514"/>
      <c r="O126" s="514"/>
      <c r="P126" s="514"/>
      <c r="Q126" s="514"/>
      <c r="S126" s="15"/>
      <c r="T126" s="4"/>
      <c r="U126" s="542">
        <v>57</v>
      </c>
      <c r="V126" s="828"/>
      <c r="W126" s="829"/>
      <c r="Y126" s="1009">
        <f t="shared" si="1"/>
        <v>0</v>
      </c>
      <c r="Z126" s="599"/>
      <c r="AA126" s="599"/>
      <c r="AB126" s="599"/>
      <c r="AC126" s="599"/>
      <c r="AD126" s="599"/>
      <c r="AE126" s="599"/>
      <c r="AF126" s="599"/>
      <c r="AG126" s="599"/>
      <c r="AH126" s="599"/>
      <c r="AI126" s="649"/>
      <c r="AJ126" s="649"/>
      <c r="AK126" s="649"/>
      <c r="AL126" s="147"/>
    </row>
    <row r="127" spans="1:38">
      <c r="A127" s="4"/>
      <c r="B127" s="542">
        <v>58</v>
      </c>
      <c r="C127" s="826"/>
      <c r="D127" s="827"/>
      <c r="F127" s="1008">
        <f t="shared" si="0"/>
        <v>0</v>
      </c>
      <c r="G127" s="514"/>
      <c r="H127" s="514"/>
      <c r="I127" s="514"/>
      <c r="J127" s="514"/>
      <c r="K127" s="514"/>
      <c r="L127" s="514"/>
      <c r="M127" s="514"/>
      <c r="N127" s="514"/>
      <c r="O127" s="514"/>
      <c r="P127" s="514"/>
      <c r="Q127" s="514"/>
      <c r="S127" s="15"/>
      <c r="T127" s="4"/>
      <c r="U127" s="542">
        <v>58</v>
      </c>
      <c r="V127" s="828"/>
      <c r="W127" s="829"/>
      <c r="Y127" s="1009">
        <f t="shared" si="1"/>
        <v>0</v>
      </c>
      <c r="Z127" s="599"/>
      <c r="AA127" s="599"/>
      <c r="AB127" s="599"/>
      <c r="AC127" s="599"/>
      <c r="AD127" s="599"/>
      <c r="AE127" s="599"/>
      <c r="AF127" s="599"/>
      <c r="AG127" s="599"/>
      <c r="AH127" s="599"/>
      <c r="AI127" s="649"/>
      <c r="AJ127" s="649"/>
      <c r="AK127" s="649"/>
      <c r="AL127" s="147"/>
    </row>
    <row r="128" spans="1:38">
      <c r="A128" s="4"/>
      <c r="B128" s="542">
        <v>59</v>
      </c>
      <c r="C128" s="826"/>
      <c r="D128" s="827"/>
      <c r="F128" s="1008">
        <f t="shared" si="0"/>
        <v>0</v>
      </c>
      <c r="G128" s="514"/>
      <c r="H128" s="514"/>
      <c r="I128" s="514"/>
      <c r="J128" s="514"/>
      <c r="K128" s="514"/>
      <c r="L128" s="514"/>
      <c r="M128" s="514"/>
      <c r="N128" s="514"/>
      <c r="O128" s="514"/>
      <c r="P128" s="514"/>
      <c r="Q128" s="514"/>
      <c r="S128" s="15"/>
      <c r="T128" s="4"/>
      <c r="U128" s="542">
        <v>59</v>
      </c>
      <c r="V128" s="828"/>
      <c r="W128" s="829"/>
      <c r="Y128" s="1009">
        <f t="shared" si="1"/>
        <v>0</v>
      </c>
      <c r="Z128" s="599"/>
      <c r="AA128" s="599"/>
      <c r="AB128" s="599"/>
      <c r="AC128" s="599"/>
      <c r="AD128" s="599"/>
      <c r="AE128" s="599"/>
      <c r="AF128" s="599"/>
      <c r="AG128" s="599"/>
      <c r="AH128" s="599"/>
      <c r="AI128" s="649"/>
      <c r="AJ128" s="649"/>
      <c r="AK128" s="649"/>
      <c r="AL128" s="147"/>
    </row>
    <row r="129" spans="1:38">
      <c r="A129" s="4"/>
      <c r="B129" s="542">
        <v>60</v>
      </c>
      <c r="C129" s="826"/>
      <c r="D129" s="827"/>
      <c r="F129" s="1008">
        <f t="shared" si="0"/>
        <v>0</v>
      </c>
      <c r="G129" s="514"/>
      <c r="H129" s="514"/>
      <c r="I129" s="514"/>
      <c r="J129" s="514"/>
      <c r="K129" s="514"/>
      <c r="L129" s="514"/>
      <c r="M129" s="514"/>
      <c r="N129" s="514"/>
      <c r="O129" s="514"/>
      <c r="P129" s="514"/>
      <c r="Q129" s="514"/>
      <c r="S129" s="15"/>
      <c r="T129" s="4"/>
      <c r="U129" s="542">
        <v>60</v>
      </c>
      <c r="V129" s="828"/>
      <c r="W129" s="829"/>
      <c r="Y129" s="1009">
        <f t="shared" si="1"/>
        <v>0</v>
      </c>
      <c r="Z129" s="599"/>
      <c r="AA129" s="599"/>
      <c r="AB129" s="599"/>
      <c r="AC129" s="599"/>
      <c r="AD129" s="599"/>
      <c r="AE129" s="599"/>
      <c r="AF129" s="599"/>
      <c r="AG129" s="599"/>
      <c r="AH129" s="599"/>
      <c r="AI129" s="649"/>
      <c r="AJ129" s="649"/>
      <c r="AK129" s="649"/>
      <c r="AL129" s="147"/>
    </row>
    <row r="130" spans="1:38">
      <c r="A130" s="4"/>
      <c r="B130" s="542">
        <v>61</v>
      </c>
      <c r="C130" s="826"/>
      <c r="D130" s="827"/>
      <c r="F130" s="1008">
        <f t="shared" si="0"/>
        <v>0</v>
      </c>
      <c r="G130" s="514"/>
      <c r="H130" s="514"/>
      <c r="I130" s="514"/>
      <c r="J130" s="514"/>
      <c r="K130" s="514"/>
      <c r="L130" s="514"/>
      <c r="M130" s="514"/>
      <c r="N130" s="514"/>
      <c r="O130" s="514"/>
      <c r="P130" s="514"/>
      <c r="Q130" s="514"/>
      <c r="S130" s="15"/>
      <c r="T130" s="4"/>
      <c r="U130" s="542">
        <v>61</v>
      </c>
      <c r="V130" s="828"/>
      <c r="W130" s="829"/>
      <c r="Y130" s="1009">
        <f t="shared" si="1"/>
        <v>0</v>
      </c>
      <c r="Z130" s="599"/>
      <c r="AA130" s="599"/>
      <c r="AB130" s="599"/>
      <c r="AC130" s="599"/>
      <c r="AD130" s="599"/>
      <c r="AE130" s="599"/>
      <c r="AF130" s="599"/>
      <c r="AG130" s="599"/>
      <c r="AH130" s="599"/>
      <c r="AI130" s="649"/>
      <c r="AJ130" s="649"/>
      <c r="AK130" s="649"/>
      <c r="AL130" s="147"/>
    </row>
    <row r="131" spans="1:38">
      <c r="A131" s="4"/>
      <c r="B131" s="542">
        <v>62</v>
      </c>
      <c r="C131" s="826"/>
      <c r="D131" s="827"/>
      <c r="F131" s="1008">
        <f t="shared" si="0"/>
        <v>0</v>
      </c>
      <c r="G131" s="514"/>
      <c r="H131" s="514"/>
      <c r="I131" s="514"/>
      <c r="J131" s="514"/>
      <c r="K131" s="514"/>
      <c r="L131" s="514"/>
      <c r="M131" s="514"/>
      <c r="N131" s="514"/>
      <c r="O131" s="514"/>
      <c r="P131" s="514"/>
      <c r="Q131" s="514"/>
      <c r="S131" s="15"/>
      <c r="T131" s="4"/>
      <c r="U131" s="542">
        <v>62</v>
      </c>
      <c r="V131" s="828"/>
      <c r="W131" s="829"/>
      <c r="Y131" s="1009">
        <f t="shared" si="1"/>
        <v>0</v>
      </c>
      <c r="Z131" s="599"/>
      <c r="AA131" s="599"/>
      <c r="AB131" s="599"/>
      <c r="AC131" s="599"/>
      <c r="AD131" s="599"/>
      <c r="AE131" s="599"/>
      <c r="AF131" s="599"/>
      <c r="AG131" s="599"/>
      <c r="AH131" s="599"/>
      <c r="AI131" s="649"/>
      <c r="AJ131" s="649"/>
      <c r="AK131" s="649"/>
      <c r="AL131" s="147"/>
    </row>
    <row r="132" spans="1:38">
      <c r="A132" s="4"/>
      <c r="B132" s="542">
        <v>63</v>
      </c>
      <c r="C132" s="826"/>
      <c r="D132" s="827"/>
      <c r="F132" s="1008">
        <f t="shared" si="0"/>
        <v>0</v>
      </c>
      <c r="G132" s="514"/>
      <c r="H132" s="514"/>
      <c r="I132" s="514"/>
      <c r="J132" s="514"/>
      <c r="K132" s="514"/>
      <c r="L132" s="514"/>
      <c r="M132" s="514"/>
      <c r="N132" s="514"/>
      <c r="O132" s="514"/>
      <c r="P132" s="514"/>
      <c r="Q132" s="514"/>
      <c r="S132" s="15"/>
      <c r="T132" s="4"/>
      <c r="U132" s="542">
        <v>63</v>
      </c>
      <c r="V132" s="828"/>
      <c r="W132" s="829"/>
      <c r="Y132" s="1009">
        <f t="shared" si="1"/>
        <v>0</v>
      </c>
      <c r="Z132" s="599"/>
      <c r="AA132" s="599"/>
      <c r="AB132" s="599"/>
      <c r="AC132" s="599"/>
      <c r="AD132" s="599"/>
      <c r="AE132" s="599"/>
      <c r="AF132" s="599"/>
      <c r="AG132" s="599"/>
      <c r="AH132" s="599"/>
      <c r="AI132" s="649"/>
      <c r="AJ132" s="649"/>
      <c r="AK132" s="649"/>
      <c r="AL132" s="147"/>
    </row>
    <row r="133" spans="1:38">
      <c r="A133" s="4"/>
      <c r="B133" s="542">
        <v>64</v>
      </c>
      <c r="C133" s="826"/>
      <c r="D133" s="827"/>
      <c r="F133" s="1008">
        <f t="shared" si="0"/>
        <v>0</v>
      </c>
      <c r="G133" s="514"/>
      <c r="H133" s="514"/>
      <c r="I133" s="514"/>
      <c r="J133" s="514"/>
      <c r="K133" s="514"/>
      <c r="L133" s="514"/>
      <c r="M133" s="514"/>
      <c r="N133" s="514"/>
      <c r="O133" s="514"/>
      <c r="P133" s="514"/>
      <c r="Q133" s="514"/>
      <c r="S133" s="15"/>
      <c r="T133" s="4"/>
      <c r="U133" s="542">
        <v>64</v>
      </c>
      <c r="V133" s="828"/>
      <c r="W133" s="829"/>
      <c r="Y133" s="1009">
        <f t="shared" si="1"/>
        <v>0</v>
      </c>
      <c r="Z133" s="599"/>
      <c r="AA133" s="599"/>
      <c r="AB133" s="599"/>
      <c r="AC133" s="599"/>
      <c r="AD133" s="599"/>
      <c r="AE133" s="599"/>
      <c r="AF133" s="599"/>
      <c r="AG133" s="599"/>
      <c r="AH133" s="599"/>
      <c r="AI133" s="649"/>
      <c r="AJ133" s="649"/>
      <c r="AK133" s="649"/>
      <c r="AL133" s="147"/>
    </row>
    <row r="134" spans="1:38">
      <c r="A134" s="4"/>
      <c r="B134" s="542">
        <v>65</v>
      </c>
      <c r="C134" s="826"/>
      <c r="D134" s="827"/>
      <c r="F134" s="1008">
        <f t="shared" si="0"/>
        <v>0</v>
      </c>
      <c r="G134" s="514"/>
      <c r="H134" s="514"/>
      <c r="I134" s="514"/>
      <c r="J134" s="514"/>
      <c r="K134" s="514"/>
      <c r="L134" s="514"/>
      <c r="M134" s="514"/>
      <c r="N134" s="514"/>
      <c r="O134" s="514"/>
      <c r="P134" s="514"/>
      <c r="Q134" s="514"/>
      <c r="S134" s="15"/>
      <c r="T134" s="4"/>
      <c r="U134" s="542">
        <v>65</v>
      </c>
      <c r="V134" s="828"/>
      <c r="W134" s="829"/>
      <c r="Y134" s="1009">
        <f t="shared" si="1"/>
        <v>0</v>
      </c>
      <c r="Z134" s="599"/>
      <c r="AA134" s="599"/>
      <c r="AB134" s="599"/>
      <c r="AC134" s="599"/>
      <c r="AD134" s="599"/>
      <c r="AE134" s="599"/>
      <c r="AF134" s="599"/>
      <c r="AG134" s="599"/>
      <c r="AH134" s="599"/>
      <c r="AI134" s="649"/>
      <c r="AJ134" s="649"/>
      <c r="AK134" s="649"/>
      <c r="AL134" s="147"/>
    </row>
    <row r="135" spans="1:38">
      <c r="A135" s="4"/>
      <c r="B135" s="542">
        <v>66</v>
      </c>
      <c r="C135" s="826"/>
      <c r="D135" s="827"/>
      <c r="F135" s="1008">
        <f t="shared" si="0"/>
        <v>0</v>
      </c>
      <c r="G135" s="514"/>
      <c r="H135" s="514"/>
      <c r="I135" s="514"/>
      <c r="J135" s="514"/>
      <c r="K135" s="514"/>
      <c r="L135" s="514"/>
      <c r="M135" s="514"/>
      <c r="N135" s="514"/>
      <c r="O135" s="514"/>
      <c r="P135" s="514"/>
      <c r="Q135" s="514"/>
      <c r="S135" s="15"/>
      <c r="T135" s="4"/>
      <c r="U135" s="542">
        <v>66</v>
      </c>
      <c r="V135" s="828"/>
      <c r="W135" s="829"/>
      <c r="Y135" s="1009">
        <f t="shared" si="1"/>
        <v>0</v>
      </c>
      <c r="Z135" s="599"/>
      <c r="AA135" s="599"/>
      <c r="AB135" s="599"/>
      <c r="AC135" s="599"/>
      <c r="AD135" s="599"/>
      <c r="AE135" s="599"/>
      <c r="AF135" s="599"/>
      <c r="AG135" s="599"/>
      <c r="AH135" s="599"/>
      <c r="AI135" s="649"/>
      <c r="AJ135" s="649"/>
      <c r="AK135" s="649"/>
      <c r="AL135" s="147"/>
    </row>
    <row r="136" spans="1:38">
      <c r="A136" s="4"/>
      <c r="B136" s="542">
        <v>67</v>
      </c>
      <c r="C136" s="826"/>
      <c r="D136" s="827"/>
      <c r="F136" s="1008">
        <f t="shared" ref="F136:F199" si="2">D136-D135</f>
        <v>0</v>
      </c>
      <c r="G136" s="514"/>
      <c r="H136" s="514"/>
      <c r="I136" s="514"/>
      <c r="J136" s="514"/>
      <c r="K136" s="514"/>
      <c r="L136" s="514"/>
      <c r="M136" s="514"/>
      <c r="N136" s="514"/>
      <c r="O136" s="514"/>
      <c r="P136" s="514"/>
      <c r="Q136" s="514"/>
      <c r="S136" s="15"/>
      <c r="T136" s="4"/>
      <c r="U136" s="542">
        <v>67</v>
      </c>
      <c r="V136" s="828"/>
      <c r="W136" s="829"/>
      <c r="Y136" s="1009">
        <f t="shared" ref="Y136:Y199" si="3">W136-W135</f>
        <v>0</v>
      </c>
      <c r="Z136" s="599"/>
      <c r="AA136" s="599"/>
      <c r="AB136" s="599"/>
      <c r="AC136" s="599"/>
      <c r="AD136" s="599"/>
      <c r="AE136" s="599"/>
      <c r="AF136" s="599"/>
      <c r="AG136" s="599"/>
      <c r="AH136" s="599"/>
      <c r="AI136" s="649"/>
      <c r="AJ136" s="649"/>
      <c r="AK136" s="649"/>
      <c r="AL136" s="147"/>
    </row>
    <row r="137" spans="1:38">
      <c r="A137" s="4"/>
      <c r="B137" s="542">
        <v>68</v>
      </c>
      <c r="C137" s="826"/>
      <c r="D137" s="827"/>
      <c r="F137" s="1008">
        <f t="shared" si="2"/>
        <v>0</v>
      </c>
      <c r="G137" s="514"/>
      <c r="H137" s="514"/>
      <c r="I137" s="514"/>
      <c r="J137" s="514"/>
      <c r="K137" s="514"/>
      <c r="L137" s="514"/>
      <c r="M137" s="514"/>
      <c r="N137" s="514"/>
      <c r="O137" s="514"/>
      <c r="P137" s="514"/>
      <c r="Q137" s="514"/>
      <c r="S137" s="15"/>
      <c r="T137" s="4"/>
      <c r="U137" s="542">
        <v>68</v>
      </c>
      <c r="V137" s="828"/>
      <c r="W137" s="829"/>
      <c r="Y137" s="1009">
        <f t="shared" si="3"/>
        <v>0</v>
      </c>
      <c r="Z137" s="599"/>
      <c r="AA137" s="599"/>
      <c r="AB137" s="599"/>
      <c r="AC137" s="599"/>
      <c r="AD137" s="599"/>
      <c r="AE137" s="599"/>
      <c r="AF137" s="599"/>
      <c r="AG137" s="599"/>
      <c r="AH137" s="599"/>
      <c r="AI137" s="649"/>
      <c r="AJ137" s="649"/>
      <c r="AK137" s="649"/>
      <c r="AL137" s="147"/>
    </row>
    <row r="138" spans="1:38">
      <c r="A138" s="4"/>
      <c r="B138" s="542">
        <v>69</v>
      </c>
      <c r="C138" s="826"/>
      <c r="D138" s="827"/>
      <c r="F138" s="1008">
        <f t="shared" si="2"/>
        <v>0</v>
      </c>
      <c r="G138" s="514"/>
      <c r="H138" s="514"/>
      <c r="I138" s="514"/>
      <c r="J138" s="514"/>
      <c r="K138" s="514"/>
      <c r="L138" s="514"/>
      <c r="M138" s="514"/>
      <c r="N138" s="514"/>
      <c r="O138" s="514"/>
      <c r="P138" s="514"/>
      <c r="Q138" s="514"/>
      <c r="S138" s="15"/>
      <c r="T138" s="4"/>
      <c r="U138" s="542">
        <v>69</v>
      </c>
      <c r="V138" s="828"/>
      <c r="W138" s="829"/>
      <c r="Y138" s="1009">
        <f t="shared" si="3"/>
        <v>0</v>
      </c>
      <c r="Z138" s="599"/>
      <c r="AA138" s="599"/>
      <c r="AB138" s="599"/>
      <c r="AC138" s="599"/>
      <c r="AD138" s="599"/>
      <c r="AE138" s="599"/>
      <c r="AF138" s="599"/>
      <c r="AG138" s="599"/>
      <c r="AH138" s="599"/>
      <c r="AI138" s="649"/>
      <c r="AJ138" s="649"/>
      <c r="AK138" s="649"/>
      <c r="AL138" s="147"/>
    </row>
    <row r="139" spans="1:38">
      <c r="A139" s="4"/>
      <c r="B139" s="542">
        <v>70</v>
      </c>
      <c r="C139" s="826"/>
      <c r="D139" s="827"/>
      <c r="F139" s="1008">
        <f t="shared" si="2"/>
        <v>0</v>
      </c>
      <c r="G139" s="514"/>
      <c r="H139" s="514"/>
      <c r="I139" s="514"/>
      <c r="J139" s="514"/>
      <c r="K139" s="514"/>
      <c r="L139" s="514"/>
      <c r="M139" s="514"/>
      <c r="N139" s="514"/>
      <c r="O139" s="514"/>
      <c r="P139" s="514"/>
      <c r="Q139" s="514"/>
      <c r="S139" s="15"/>
      <c r="T139" s="4"/>
      <c r="U139" s="542">
        <v>70</v>
      </c>
      <c r="V139" s="828"/>
      <c r="W139" s="829"/>
      <c r="Y139" s="1009">
        <f t="shared" si="3"/>
        <v>0</v>
      </c>
      <c r="Z139" s="599"/>
      <c r="AA139" s="599"/>
      <c r="AB139" s="599"/>
      <c r="AC139" s="599"/>
      <c r="AD139" s="599"/>
      <c r="AE139" s="599"/>
      <c r="AF139" s="599"/>
      <c r="AG139" s="599"/>
      <c r="AH139" s="599"/>
      <c r="AI139" s="649"/>
      <c r="AJ139" s="649"/>
      <c r="AK139" s="649"/>
      <c r="AL139" s="147"/>
    </row>
    <row r="140" spans="1:38">
      <c r="A140" s="4"/>
      <c r="B140" s="542">
        <v>71</v>
      </c>
      <c r="C140" s="826"/>
      <c r="D140" s="827"/>
      <c r="F140" s="1008">
        <f t="shared" si="2"/>
        <v>0</v>
      </c>
      <c r="G140" s="514"/>
      <c r="H140" s="514"/>
      <c r="I140" s="514"/>
      <c r="J140" s="514"/>
      <c r="K140" s="514"/>
      <c r="L140" s="514"/>
      <c r="M140" s="514"/>
      <c r="N140" s="514"/>
      <c r="O140" s="514"/>
      <c r="P140" s="514"/>
      <c r="Q140" s="514"/>
      <c r="S140" s="15"/>
      <c r="T140" s="4"/>
      <c r="U140" s="542">
        <v>71</v>
      </c>
      <c r="V140" s="828"/>
      <c r="W140" s="829"/>
      <c r="Y140" s="1009">
        <f t="shared" si="3"/>
        <v>0</v>
      </c>
      <c r="Z140" s="599"/>
      <c r="AA140" s="599"/>
      <c r="AB140" s="599"/>
      <c r="AC140" s="599"/>
      <c r="AD140" s="599"/>
      <c r="AE140" s="599"/>
      <c r="AF140" s="599"/>
      <c r="AG140" s="599"/>
      <c r="AH140" s="599"/>
      <c r="AI140" s="649"/>
      <c r="AJ140" s="649"/>
      <c r="AK140" s="649"/>
      <c r="AL140" s="147"/>
    </row>
    <row r="141" spans="1:38">
      <c r="A141" s="4"/>
      <c r="B141" s="542">
        <v>72</v>
      </c>
      <c r="C141" s="826"/>
      <c r="D141" s="827"/>
      <c r="F141" s="1008">
        <f t="shared" si="2"/>
        <v>0</v>
      </c>
      <c r="G141" s="514"/>
      <c r="H141" s="514"/>
      <c r="I141" s="514"/>
      <c r="J141" s="514"/>
      <c r="K141" s="514"/>
      <c r="L141" s="514"/>
      <c r="M141" s="514"/>
      <c r="N141" s="514"/>
      <c r="O141" s="514"/>
      <c r="P141" s="514"/>
      <c r="Q141" s="514"/>
      <c r="S141" s="15"/>
      <c r="T141" s="4"/>
      <c r="U141" s="542">
        <v>72</v>
      </c>
      <c r="V141" s="828"/>
      <c r="W141" s="829"/>
      <c r="Y141" s="1009">
        <f t="shared" si="3"/>
        <v>0</v>
      </c>
      <c r="Z141" s="599"/>
      <c r="AA141" s="599"/>
      <c r="AB141" s="599"/>
      <c r="AC141" s="599"/>
      <c r="AD141" s="599"/>
      <c r="AE141" s="599"/>
      <c r="AF141" s="599"/>
      <c r="AG141" s="599"/>
      <c r="AH141" s="599"/>
      <c r="AI141" s="649"/>
      <c r="AJ141" s="649"/>
      <c r="AK141" s="649"/>
      <c r="AL141" s="147"/>
    </row>
    <row r="142" spans="1:38">
      <c r="A142" s="4"/>
      <c r="B142" s="542">
        <v>73</v>
      </c>
      <c r="C142" s="826"/>
      <c r="D142" s="827"/>
      <c r="F142" s="1008">
        <f t="shared" si="2"/>
        <v>0</v>
      </c>
      <c r="G142" s="514"/>
      <c r="H142" s="514"/>
      <c r="I142" s="514"/>
      <c r="J142" s="514"/>
      <c r="K142" s="514"/>
      <c r="L142" s="514"/>
      <c r="M142" s="514"/>
      <c r="N142" s="514"/>
      <c r="O142" s="514"/>
      <c r="P142" s="514"/>
      <c r="Q142" s="514"/>
      <c r="S142" s="15"/>
      <c r="T142" s="4"/>
      <c r="U142" s="542">
        <v>73</v>
      </c>
      <c r="V142" s="828"/>
      <c r="W142" s="829"/>
      <c r="Y142" s="1009">
        <f t="shared" si="3"/>
        <v>0</v>
      </c>
      <c r="Z142" s="599"/>
      <c r="AA142" s="599"/>
      <c r="AB142" s="599"/>
      <c r="AC142" s="599"/>
      <c r="AD142" s="599"/>
      <c r="AE142" s="599"/>
      <c r="AF142" s="599"/>
      <c r="AG142" s="599"/>
      <c r="AH142" s="599"/>
      <c r="AI142" s="649"/>
      <c r="AJ142" s="649"/>
      <c r="AK142" s="649"/>
      <c r="AL142" s="147"/>
    </row>
    <row r="143" spans="1:38">
      <c r="A143" s="4"/>
      <c r="B143" s="542">
        <v>74</v>
      </c>
      <c r="C143" s="826"/>
      <c r="D143" s="827"/>
      <c r="F143" s="1008">
        <f t="shared" si="2"/>
        <v>0</v>
      </c>
      <c r="G143" s="514"/>
      <c r="H143" s="514"/>
      <c r="I143" s="514"/>
      <c r="J143" s="514"/>
      <c r="K143" s="514"/>
      <c r="L143" s="514"/>
      <c r="M143" s="514"/>
      <c r="N143" s="514"/>
      <c r="O143" s="514"/>
      <c r="P143" s="514"/>
      <c r="Q143" s="514"/>
      <c r="S143" s="15"/>
      <c r="T143" s="4"/>
      <c r="U143" s="542">
        <v>74</v>
      </c>
      <c r="V143" s="828"/>
      <c r="W143" s="829"/>
      <c r="Y143" s="1009">
        <f t="shared" si="3"/>
        <v>0</v>
      </c>
      <c r="Z143" s="599"/>
      <c r="AA143" s="599"/>
      <c r="AB143" s="599"/>
      <c r="AC143" s="599"/>
      <c r="AD143" s="599"/>
      <c r="AE143" s="599"/>
      <c r="AF143" s="599"/>
      <c r="AG143" s="599"/>
      <c r="AH143" s="599"/>
      <c r="AI143" s="649"/>
      <c r="AJ143" s="649"/>
      <c r="AK143" s="649"/>
      <c r="AL143" s="147"/>
    </row>
    <row r="144" spans="1:38">
      <c r="A144" s="4"/>
      <c r="B144" s="542">
        <v>75</v>
      </c>
      <c r="C144" s="826"/>
      <c r="D144" s="827"/>
      <c r="F144" s="1008">
        <f t="shared" si="2"/>
        <v>0</v>
      </c>
      <c r="G144" s="514"/>
      <c r="H144" s="514"/>
      <c r="I144" s="514"/>
      <c r="J144" s="514"/>
      <c r="K144" s="514"/>
      <c r="L144" s="514"/>
      <c r="M144" s="514"/>
      <c r="N144" s="514"/>
      <c r="O144" s="514"/>
      <c r="P144" s="514"/>
      <c r="Q144" s="514"/>
      <c r="S144" s="15"/>
      <c r="T144" s="4"/>
      <c r="U144" s="542">
        <v>75</v>
      </c>
      <c r="V144" s="828"/>
      <c r="W144" s="829"/>
      <c r="Y144" s="1009">
        <f t="shared" si="3"/>
        <v>0</v>
      </c>
      <c r="Z144" s="599"/>
      <c r="AA144" s="599"/>
      <c r="AB144" s="599"/>
      <c r="AC144" s="599"/>
      <c r="AD144" s="599"/>
      <c r="AE144" s="599"/>
      <c r="AF144" s="599"/>
      <c r="AG144" s="599"/>
      <c r="AH144" s="599"/>
      <c r="AI144" s="649"/>
      <c r="AJ144" s="649"/>
      <c r="AK144" s="649"/>
      <c r="AL144" s="147"/>
    </row>
    <row r="145" spans="1:38">
      <c r="A145" s="4"/>
      <c r="B145" s="542">
        <v>76</v>
      </c>
      <c r="C145" s="826"/>
      <c r="D145" s="827"/>
      <c r="F145" s="1008">
        <f t="shared" si="2"/>
        <v>0</v>
      </c>
      <c r="G145" s="514"/>
      <c r="H145" s="514"/>
      <c r="I145" s="514"/>
      <c r="J145" s="514"/>
      <c r="K145" s="514"/>
      <c r="L145" s="514"/>
      <c r="M145" s="514"/>
      <c r="N145" s="514"/>
      <c r="O145" s="514"/>
      <c r="P145" s="514"/>
      <c r="Q145" s="514"/>
      <c r="S145" s="15"/>
      <c r="T145" s="4"/>
      <c r="U145" s="542">
        <v>76</v>
      </c>
      <c r="V145" s="828"/>
      <c r="W145" s="829"/>
      <c r="Y145" s="1009">
        <f t="shared" si="3"/>
        <v>0</v>
      </c>
      <c r="Z145" s="599"/>
      <c r="AA145" s="599"/>
      <c r="AB145" s="599"/>
      <c r="AC145" s="599"/>
      <c r="AD145" s="599"/>
      <c r="AE145" s="599"/>
      <c r="AF145" s="599"/>
      <c r="AG145" s="599"/>
      <c r="AH145" s="599"/>
      <c r="AI145" s="649"/>
      <c r="AJ145" s="649"/>
      <c r="AK145" s="649"/>
      <c r="AL145" s="147"/>
    </row>
    <row r="146" spans="1:38">
      <c r="A146" s="4"/>
      <c r="B146" s="542">
        <v>77</v>
      </c>
      <c r="C146" s="826"/>
      <c r="D146" s="827"/>
      <c r="F146" s="1008">
        <f t="shared" si="2"/>
        <v>0</v>
      </c>
      <c r="G146" s="514"/>
      <c r="H146" s="514"/>
      <c r="I146" s="514"/>
      <c r="J146" s="514"/>
      <c r="K146" s="514"/>
      <c r="L146" s="514"/>
      <c r="M146" s="514"/>
      <c r="N146" s="514"/>
      <c r="O146" s="514"/>
      <c r="P146" s="514"/>
      <c r="Q146" s="514"/>
      <c r="S146" s="15"/>
      <c r="T146" s="4"/>
      <c r="U146" s="542">
        <v>77</v>
      </c>
      <c r="V146" s="828"/>
      <c r="W146" s="829"/>
      <c r="Y146" s="1009">
        <f t="shared" si="3"/>
        <v>0</v>
      </c>
      <c r="Z146" s="599"/>
      <c r="AA146" s="599"/>
      <c r="AB146" s="599"/>
      <c r="AC146" s="599"/>
      <c r="AD146" s="599"/>
      <c r="AE146" s="599"/>
      <c r="AF146" s="599"/>
      <c r="AG146" s="599"/>
      <c r="AH146" s="599"/>
      <c r="AI146" s="649"/>
      <c r="AJ146" s="649"/>
      <c r="AK146" s="649"/>
      <c r="AL146" s="147"/>
    </row>
    <row r="147" spans="1:38">
      <c r="A147" s="4"/>
      <c r="B147" s="542">
        <v>78</v>
      </c>
      <c r="C147" s="826"/>
      <c r="D147" s="827"/>
      <c r="F147" s="1008">
        <f t="shared" si="2"/>
        <v>0</v>
      </c>
      <c r="G147" s="514"/>
      <c r="H147" s="514"/>
      <c r="I147" s="514"/>
      <c r="J147" s="514"/>
      <c r="K147" s="514"/>
      <c r="L147" s="514"/>
      <c r="M147" s="514"/>
      <c r="N147" s="514"/>
      <c r="O147" s="514"/>
      <c r="P147" s="514"/>
      <c r="Q147" s="514"/>
      <c r="S147" s="15"/>
      <c r="T147" s="4"/>
      <c r="U147" s="542">
        <v>78</v>
      </c>
      <c r="V147" s="828"/>
      <c r="W147" s="829"/>
      <c r="Y147" s="1009">
        <f t="shared" si="3"/>
        <v>0</v>
      </c>
      <c r="Z147" s="599"/>
      <c r="AA147" s="599"/>
      <c r="AB147" s="599"/>
      <c r="AC147" s="599"/>
      <c r="AD147" s="599"/>
      <c r="AE147" s="599"/>
      <c r="AF147" s="599"/>
      <c r="AG147" s="599"/>
      <c r="AH147" s="599"/>
      <c r="AI147" s="649"/>
      <c r="AJ147" s="649"/>
      <c r="AK147" s="649"/>
      <c r="AL147" s="147"/>
    </row>
    <row r="148" spans="1:38">
      <c r="A148" s="4"/>
      <c r="B148" s="542">
        <v>79</v>
      </c>
      <c r="C148" s="826"/>
      <c r="D148" s="827"/>
      <c r="F148" s="1008">
        <f t="shared" si="2"/>
        <v>0</v>
      </c>
      <c r="G148" s="514"/>
      <c r="H148" s="514"/>
      <c r="I148" s="514"/>
      <c r="J148" s="514"/>
      <c r="K148" s="514"/>
      <c r="L148" s="514"/>
      <c r="M148" s="514"/>
      <c r="N148" s="514"/>
      <c r="O148" s="514"/>
      <c r="P148" s="514"/>
      <c r="Q148" s="514"/>
      <c r="S148" s="15"/>
      <c r="T148" s="4"/>
      <c r="U148" s="542">
        <v>79</v>
      </c>
      <c r="V148" s="828"/>
      <c r="W148" s="829"/>
      <c r="Y148" s="1009">
        <f t="shared" si="3"/>
        <v>0</v>
      </c>
      <c r="Z148" s="599"/>
      <c r="AA148" s="599"/>
      <c r="AB148" s="599"/>
      <c r="AC148" s="599"/>
      <c r="AD148" s="599"/>
      <c r="AE148" s="599"/>
      <c r="AF148" s="599"/>
      <c r="AG148" s="599"/>
      <c r="AH148" s="599"/>
      <c r="AI148" s="649"/>
      <c r="AJ148" s="649"/>
      <c r="AK148" s="649"/>
      <c r="AL148" s="147"/>
    </row>
    <row r="149" spans="1:38">
      <c r="A149" s="4"/>
      <c r="B149" s="542">
        <v>80</v>
      </c>
      <c r="C149" s="826"/>
      <c r="D149" s="827"/>
      <c r="F149" s="1008">
        <f t="shared" si="2"/>
        <v>0</v>
      </c>
      <c r="G149" s="514"/>
      <c r="H149" s="514"/>
      <c r="I149" s="514"/>
      <c r="J149" s="514"/>
      <c r="K149" s="514"/>
      <c r="L149" s="514"/>
      <c r="M149" s="514"/>
      <c r="N149" s="514"/>
      <c r="O149" s="514"/>
      <c r="P149" s="514"/>
      <c r="Q149" s="514"/>
      <c r="S149" s="15"/>
      <c r="T149" s="4"/>
      <c r="U149" s="542">
        <v>80</v>
      </c>
      <c r="V149" s="828"/>
      <c r="W149" s="829"/>
      <c r="Y149" s="1009">
        <f t="shared" si="3"/>
        <v>0</v>
      </c>
      <c r="Z149" s="599"/>
      <c r="AA149" s="599"/>
      <c r="AB149" s="599"/>
      <c r="AC149" s="599"/>
      <c r="AD149" s="599"/>
      <c r="AE149" s="599"/>
      <c r="AF149" s="599"/>
      <c r="AG149" s="599"/>
      <c r="AH149" s="599"/>
      <c r="AI149" s="649"/>
      <c r="AJ149" s="649"/>
      <c r="AK149" s="649"/>
      <c r="AL149" s="147"/>
    </row>
    <row r="150" spans="1:38">
      <c r="A150" s="4"/>
      <c r="B150" s="542">
        <v>81</v>
      </c>
      <c r="C150" s="826"/>
      <c r="D150" s="827"/>
      <c r="F150" s="1008">
        <f t="shared" si="2"/>
        <v>0</v>
      </c>
      <c r="G150" s="514"/>
      <c r="H150" s="514"/>
      <c r="I150" s="514"/>
      <c r="J150" s="514"/>
      <c r="K150" s="514"/>
      <c r="L150" s="514"/>
      <c r="M150" s="514"/>
      <c r="N150" s="514"/>
      <c r="O150" s="514"/>
      <c r="P150" s="514"/>
      <c r="Q150" s="514"/>
      <c r="S150" s="15"/>
      <c r="T150" s="4"/>
      <c r="U150" s="542">
        <v>81</v>
      </c>
      <c r="V150" s="828"/>
      <c r="W150" s="829"/>
      <c r="Y150" s="1009">
        <f t="shared" si="3"/>
        <v>0</v>
      </c>
      <c r="Z150" s="599"/>
      <c r="AA150" s="599"/>
      <c r="AB150" s="599"/>
      <c r="AC150" s="599"/>
      <c r="AD150" s="599"/>
      <c r="AE150" s="599"/>
      <c r="AF150" s="599"/>
      <c r="AG150" s="599"/>
      <c r="AH150" s="599"/>
      <c r="AI150" s="649"/>
      <c r="AJ150" s="649"/>
      <c r="AK150" s="649"/>
      <c r="AL150" s="147"/>
    </row>
    <row r="151" spans="1:38">
      <c r="A151" s="4"/>
      <c r="B151" s="542">
        <v>82</v>
      </c>
      <c r="C151" s="826"/>
      <c r="D151" s="827"/>
      <c r="F151" s="1008">
        <f t="shared" si="2"/>
        <v>0</v>
      </c>
      <c r="G151" s="514"/>
      <c r="H151" s="514"/>
      <c r="I151" s="514"/>
      <c r="J151" s="514"/>
      <c r="K151" s="514"/>
      <c r="L151" s="514"/>
      <c r="M151" s="514"/>
      <c r="N151" s="514"/>
      <c r="O151" s="514"/>
      <c r="P151" s="514"/>
      <c r="Q151" s="514"/>
      <c r="S151" s="15"/>
      <c r="T151" s="4"/>
      <c r="U151" s="542">
        <v>82</v>
      </c>
      <c r="V151" s="828"/>
      <c r="W151" s="829"/>
      <c r="Y151" s="1009">
        <f t="shared" si="3"/>
        <v>0</v>
      </c>
      <c r="Z151" s="599"/>
      <c r="AA151" s="599"/>
      <c r="AB151" s="599"/>
      <c r="AC151" s="599"/>
      <c r="AD151" s="599"/>
      <c r="AE151" s="599"/>
      <c r="AF151" s="599"/>
      <c r="AG151" s="599"/>
      <c r="AH151" s="599"/>
      <c r="AI151" s="649"/>
      <c r="AJ151" s="649"/>
      <c r="AK151" s="649"/>
      <c r="AL151" s="147"/>
    </row>
    <row r="152" spans="1:38">
      <c r="A152" s="4"/>
      <c r="B152" s="542">
        <v>83</v>
      </c>
      <c r="C152" s="826"/>
      <c r="D152" s="827"/>
      <c r="F152" s="1008">
        <f t="shared" si="2"/>
        <v>0</v>
      </c>
      <c r="G152" s="514"/>
      <c r="H152" s="514"/>
      <c r="I152" s="514"/>
      <c r="J152" s="514"/>
      <c r="K152" s="514"/>
      <c r="L152" s="514"/>
      <c r="M152" s="514"/>
      <c r="N152" s="514"/>
      <c r="O152" s="514"/>
      <c r="P152" s="514"/>
      <c r="Q152" s="514"/>
      <c r="S152" s="15"/>
      <c r="T152" s="4"/>
      <c r="U152" s="542">
        <v>83</v>
      </c>
      <c r="V152" s="828"/>
      <c r="W152" s="829"/>
      <c r="Y152" s="1009">
        <f t="shared" si="3"/>
        <v>0</v>
      </c>
      <c r="Z152" s="599"/>
      <c r="AA152" s="599"/>
      <c r="AB152" s="599"/>
      <c r="AC152" s="599"/>
      <c r="AD152" s="599"/>
      <c r="AE152" s="599"/>
      <c r="AF152" s="599"/>
      <c r="AG152" s="599"/>
      <c r="AH152" s="599"/>
      <c r="AI152" s="649"/>
      <c r="AJ152" s="649"/>
      <c r="AK152" s="649"/>
      <c r="AL152" s="147"/>
    </row>
    <row r="153" spans="1:38">
      <c r="A153" s="4"/>
      <c r="B153" s="542">
        <v>84</v>
      </c>
      <c r="C153" s="826"/>
      <c r="D153" s="827"/>
      <c r="F153" s="1008">
        <f t="shared" si="2"/>
        <v>0</v>
      </c>
      <c r="G153" s="514"/>
      <c r="H153" s="514"/>
      <c r="I153" s="514"/>
      <c r="J153" s="514"/>
      <c r="K153" s="514"/>
      <c r="L153" s="514"/>
      <c r="M153" s="514"/>
      <c r="N153" s="514"/>
      <c r="O153" s="514"/>
      <c r="P153" s="514"/>
      <c r="Q153" s="514"/>
      <c r="S153" s="15"/>
      <c r="T153" s="4"/>
      <c r="U153" s="542">
        <v>84</v>
      </c>
      <c r="V153" s="828"/>
      <c r="W153" s="829"/>
      <c r="Y153" s="1009">
        <f t="shared" si="3"/>
        <v>0</v>
      </c>
      <c r="Z153" s="599"/>
      <c r="AA153" s="599"/>
      <c r="AB153" s="599"/>
      <c r="AC153" s="599"/>
      <c r="AD153" s="599"/>
      <c r="AE153" s="599"/>
      <c r="AF153" s="599"/>
      <c r="AG153" s="599"/>
      <c r="AH153" s="599"/>
      <c r="AI153" s="649"/>
      <c r="AJ153" s="649"/>
      <c r="AK153" s="649"/>
      <c r="AL153" s="147"/>
    </row>
    <row r="154" spans="1:38">
      <c r="A154" s="4"/>
      <c r="B154" s="542">
        <v>85</v>
      </c>
      <c r="C154" s="826"/>
      <c r="D154" s="827"/>
      <c r="F154" s="1008">
        <f t="shared" si="2"/>
        <v>0</v>
      </c>
      <c r="G154" s="514"/>
      <c r="H154" s="514"/>
      <c r="I154" s="514"/>
      <c r="J154" s="514"/>
      <c r="K154" s="514"/>
      <c r="L154" s="514"/>
      <c r="M154" s="514"/>
      <c r="N154" s="514"/>
      <c r="O154" s="514"/>
      <c r="P154" s="514"/>
      <c r="Q154" s="514"/>
      <c r="S154" s="15"/>
      <c r="T154" s="4"/>
      <c r="U154" s="542">
        <v>85</v>
      </c>
      <c r="V154" s="828"/>
      <c r="W154" s="829"/>
      <c r="Y154" s="1009">
        <f t="shared" si="3"/>
        <v>0</v>
      </c>
      <c r="Z154" s="599"/>
      <c r="AA154" s="599"/>
      <c r="AB154" s="599"/>
      <c r="AC154" s="599"/>
      <c r="AD154" s="599"/>
      <c r="AE154" s="599"/>
      <c r="AF154" s="599"/>
      <c r="AG154" s="599"/>
      <c r="AH154" s="599"/>
      <c r="AI154" s="649"/>
      <c r="AJ154" s="649"/>
      <c r="AK154" s="649"/>
      <c r="AL154" s="147"/>
    </row>
    <row r="155" spans="1:38">
      <c r="A155" s="4"/>
      <c r="B155" s="542">
        <v>86</v>
      </c>
      <c r="C155" s="826"/>
      <c r="D155" s="827"/>
      <c r="F155" s="1008">
        <f t="shared" si="2"/>
        <v>0</v>
      </c>
      <c r="G155" s="514"/>
      <c r="H155" s="514"/>
      <c r="I155" s="514"/>
      <c r="J155" s="514"/>
      <c r="K155" s="514"/>
      <c r="L155" s="514"/>
      <c r="M155" s="514"/>
      <c r="N155" s="514"/>
      <c r="O155" s="514"/>
      <c r="P155" s="514"/>
      <c r="Q155" s="514"/>
      <c r="S155" s="15"/>
      <c r="T155" s="4"/>
      <c r="U155" s="542">
        <v>86</v>
      </c>
      <c r="V155" s="828"/>
      <c r="W155" s="829"/>
      <c r="Y155" s="1009">
        <f t="shared" si="3"/>
        <v>0</v>
      </c>
      <c r="Z155" s="599"/>
      <c r="AA155" s="599"/>
      <c r="AB155" s="599"/>
      <c r="AC155" s="599"/>
      <c r="AD155" s="599"/>
      <c r="AE155" s="599"/>
      <c r="AF155" s="599"/>
      <c r="AG155" s="599"/>
      <c r="AH155" s="599"/>
      <c r="AI155" s="649"/>
      <c r="AJ155" s="649"/>
      <c r="AK155" s="649"/>
      <c r="AL155" s="147"/>
    </row>
    <row r="156" spans="1:38">
      <c r="A156" s="4"/>
      <c r="B156" s="542">
        <v>87</v>
      </c>
      <c r="C156" s="826"/>
      <c r="D156" s="827"/>
      <c r="F156" s="1008">
        <f t="shared" si="2"/>
        <v>0</v>
      </c>
      <c r="G156" s="514"/>
      <c r="H156" s="514"/>
      <c r="I156" s="514"/>
      <c r="J156" s="514"/>
      <c r="K156" s="514"/>
      <c r="L156" s="514"/>
      <c r="M156" s="514"/>
      <c r="N156" s="514"/>
      <c r="O156" s="514"/>
      <c r="P156" s="514"/>
      <c r="Q156" s="514"/>
      <c r="S156" s="15"/>
      <c r="T156" s="4"/>
      <c r="U156" s="542">
        <v>87</v>
      </c>
      <c r="V156" s="828"/>
      <c r="W156" s="829"/>
      <c r="Y156" s="1009">
        <f t="shared" si="3"/>
        <v>0</v>
      </c>
      <c r="Z156" s="599"/>
      <c r="AA156" s="599"/>
      <c r="AB156" s="599"/>
      <c r="AC156" s="599"/>
      <c r="AD156" s="599"/>
      <c r="AE156" s="599"/>
      <c r="AF156" s="599"/>
      <c r="AG156" s="599"/>
      <c r="AH156" s="599"/>
      <c r="AI156" s="649"/>
      <c r="AJ156" s="649"/>
      <c r="AK156" s="649"/>
      <c r="AL156" s="147"/>
    </row>
    <row r="157" spans="1:38">
      <c r="A157" s="4"/>
      <c r="B157" s="542">
        <v>88</v>
      </c>
      <c r="C157" s="826"/>
      <c r="D157" s="827"/>
      <c r="F157" s="1008">
        <f t="shared" si="2"/>
        <v>0</v>
      </c>
      <c r="G157" s="514"/>
      <c r="H157" s="514"/>
      <c r="I157" s="514"/>
      <c r="J157" s="514"/>
      <c r="K157" s="514"/>
      <c r="L157" s="514"/>
      <c r="M157" s="514"/>
      <c r="N157" s="514"/>
      <c r="O157" s="514"/>
      <c r="P157" s="514"/>
      <c r="Q157" s="514"/>
      <c r="S157" s="15"/>
      <c r="T157" s="4"/>
      <c r="U157" s="542">
        <v>88</v>
      </c>
      <c r="V157" s="828"/>
      <c r="W157" s="829"/>
      <c r="Y157" s="1009">
        <f t="shared" si="3"/>
        <v>0</v>
      </c>
      <c r="Z157" s="599"/>
      <c r="AA157" s="599"/>
      <c r="AB157" s="599"/>
      <c r="AC157" s="599"/>
      <c r="AD157" s="599"/>
      <c r="AE157" s="599"/>
      <c r="AF157" s="599"/>
      <c r="AG157" s="599"/>
      <c r="AH157" s="599"/>
      <c r="AI157" s="649"/>
      <c r="AJ157" s="649"/>
      <c r="AK157" s="649"/>
      <c r="AL157" s="147"/>
    </row>
    <row r="158" spans="1:38">
      <c r="A158" s="4"/>
      <c r="B158" s="542">
        <v>89</v>
      </c>
      <c r="C158" s="826"/>
      <c r="D158" s="827"/>
      <c r="F158" s="1008">
        <f t="shared" si="2"/>
        <v>0</v>
      </c>
      <c r="G158" s="514"/>
      <c r="H158" s="514"/>
      <c r="I158" s="514"/>
      <c r="J158" s="514"/>
      <c r="K158" s="514"/>
      <c r="L158" s="514"/>
      <c r="M158" s="514"/>
      <c r="N158" s="514"/>
      <c r="O158" s="514"/>
      <c r="P158" s="514"/>
      <c r="Q158" s="514"/>
      <c r="S158" s="15"/>
      <c r="T158" s="4"/>
      <c r="U158" s="542">
        <v>89</v>
      </c>
      <c r="V158" s="828"/>
      <c r="W158" s="829"/>
      <c r="Y158" s="1009">
        <f t="shared" si="3"/>
        <v>0</v>
      </c>
      <c r="Z158" s="599"/>
      <c r="AA158" s="599"/>
      <c r="AB158" s="599"/>
      <c r="AC158" s="599"/>
      <c r="AD158" s="599"/>
      <c r="AE158" s="599"/>
      <c r="AF158" s="599"/>
      <c r="AG158" s="599"/>
      <c r="AH158" s="599"/>
      <c r="AI158" s="649"/>
      <c r="AJ158" s="649"/>
      <c r="AK158" s="649"/>
      <c r="AL158" s="147"/>
    </row>
    <row r="159" spans="1:38">
      <c r="A159" s="4"/>
      <c r="B159" s="542">
        <v>90</v>
      </c>
      <c r="C159" s="826"/>
      <c r="D159" s="827"/>
      <c r="F159" s="1008">
        <f t="shared" si="2"/>
        <v>0</v>
      </c>
      <c r="G159" s="514"/>
      <c r="H159" s="514"/>
      <c r="I159" s="514"/>
      <c r="J159" s="514"/>
      <c r="K159" s="514"/>
      <c r="L159" s="514"/>
      <c r="M159" s="514"/>
      <c r="N159" s="514"/>
      <c r="O159" s="514"/>
      <c r="P159" s="514"/>
      <c r="Q159" s="514"/>
      <c r="S159" s="15"/>
      <c r="T159" s="4"/>
      <c r="U159" s="542">
        <v>90</v>
      </c>
      <c r="V159" s="828"/>
      <c r="W159" s="829"/>
      <c r="Y159" s="1009">
        <f t="shared" si="3"/>
        <v>0</v>
      </c>
      <c r="Z159" s="599"/>
      <c r="AA159" s="599"/>
      <c r="AB159" s="599"/>
      <c r="AC159" s="599"/>
      <c r="AD159" s="599"/>
      <c r="AE159" s="599"/>
      <c r="AF159" s="599"/>
      <c r="AG159" s="599"/>
      <c r="AH159" s="599"/>
      <c r="AI159" s="649"/>
      <c r="AJ159" s="649"/>
      <c r="AK159" s="649"/>
      <c r="AL159" s="147"/>
    </row>
    <row r="160" spans="1:38">
      <c r="A160" s="4"/>
      <c r="B160" s="542">
        <v>91</v>
      </c>
      <c r="C160" s="826"/>
      <c r="D160" s="827"/>
      <c r="F160" s="1008">
        <f t="shared" si="2"/>
        <v>0</v>
      </c>
      <c r="G160" s="514"/>
      <c r="H160" s="514"/>
      <c r="I160" s="514"/>
      <c r="J160" s="514"/>
      <c r="K160" s="514"/>
      <c r="L160" s="514"/>
      <c r="M160" s="514"/>
      <c r="N160" s="514"/>
      <c r="O160" s="514"/>
      <c r="P160" s="514"/>
      <c r="Q160" s="514"/>
      <c r="S160" s="15"/>
      <c r="T160" s="4"/>
      <c r="U160" s="542">
        <v>91</v>
      </c>
      <c r="V160" s="828"/>
      <c r="W160" s="829"/>
      <c r="Y160" s="1009">
        <f t="shared" si="3"/>
        <v>0</v>
      </c>
      <c r="Z160" s="599"/>
      <c r="AA160" s="599"/>
      <c r="AB160" s="599"/>
      <c r="AC160" s="599"/>
      <c r="AD160" s="599"/>
      <c r="AE160" s="599"/>
      <c r="AF160" s="599"/>
      <c r="AG160" s="599"/>
      <c r="AH160" s="599"/>
      <c r="AI160" s="649"/>
      <c r="AJ160" s="649"/>
      <c r="AK160" s="649"/>
      <c r="AL160" s="147"/>
    </row>
    <row r="161" spans="1:38">
      <c r="A161" s="4"/>
      <c r="B161" s="542">
        <v>92</v>
      </c>
      <c r="C161" s="826"/>
      <c r="D161" s="827"/>
      <c r="F161" s="1008">
        <f t="shared" si="2"/>
        <v>0</v>
      </c>
      <c r="G161" s="514"/>
      <c r="H161" s="514"/>
      <c r="I161" s="514"/>
      <c r="J161" s="514"/>
      <c r="K161" s="514"/>
      <c r="L161" s="514"/>
      <c r="M161" s="514"/>
      <c r="N161" s="514"/>
      <c r="O161" s="514"/>
      <c r="P161" s="514"/>
      <c r="Q161" s="514"/>
      <c r="S161" s="15"/>
      <c r="T161" s="4"/>
      <c r="U161" s="542">
        <v>92</v>
      </c>
      <c r="V161" s="828"/>
      <c r="W161" s="829"/>
      <c r="Y161" s="1009">
        <f t="shared" si="3"/>
        <v>0</v>
      </c>
      <c r="Z161" s="599"/>
      <c r="AA161" s="599"/>
      <c r="AB161" s="599"/>
      <c r="AC161" s="599"/>
      <c r="AD161" s="599"/>
      <c r="AE161" s="599"/>
      <c r="AF161" s="599"/>
      <c r="AG161" s="599"/>
      <c r="AH161" s="599"/>
      <c r="AI161" s="649"/>
      <c r="AJ161" s="649"/>
      <c r="AK161" s="649"/>
      <c r="AL161" s="147"/>
    </row>
    <row r="162" spans="1:38">
      <c r="A162" s="4"/>
      <c r="B162" s="542">
        <v>93</v>
      </c>
      <c r="C162" s="826"/>
      <c r="D162" s="827"/>
      <c r="F162" s="1008">
        <f t="shared" si="2"/>
        <v>0</v>
      </c>
      <c r="G162" s="514"/>
      <c r="H162" s="514"/>
      <c r="I162" s="514"/>
      <c r="J162" s="514"/>
      <c r="K162" s="514"/>
      <c r="L162" s="514"/>
      <c r="M162" s="514"/>
      <c r="N162" s="514"/>
      <c r="O162" s="514"/>
      <c r="P162" s="514"/>
      <c r="Q162" s="514"/>
      <c r="S162" s="15"/>
      <c r="T162" s="4"/>
      <c r="U162" s="542">
        <v>93</v>
      </c>
      <c r="V162" s="828"/>
      <c r="W162" s="829"/>
      <c r="Y162" s="1009">
        <f t="shared" si="3"/>
        <v>0</v>
      </c>
      <c r="Z162" s="599"/>
      <c r="AA162" s="599"/>
      <c r="AB162" s="599"/>
      <c r="AC162" s="599"/>
      <c r="AD162" s="599"/>
      <c r="AE162" s="599"/>
      <c r="AF162" s="599"/>
      <c r="AG162" s="599"/>
      <c r="AH162" s="599"/>
      <c r="AI162" s="649"/>
      <c r="AJ162" s="649"/>
      <c r="AK162" s="649"/>
      <c r="AL162" s="147"/>
    </row>
    <row r="163" spans="1:38">
      <c r="A163" s="4"/>
      <c r="B163" s="542">
        <v>94</v>
      </c>
      <c r="C163" s="826"/>
      <c r="D163" s="827"/>
      <c r="F163" s="1008">
        <f t="shared" si="2"/>
        <v>0</v>
      </c>
      <c r="G163" s="514"/>
      <c r="H163" s="514"/>
      <c r="I163" s="514"/>
      <c r="J163" s="514"/>
      <c r="K163" s="514"/>
      <c r="L163" s="514"/>
      <c r="M163" s="514"/>
      <c r="N163" s="514"/>
      <c r="O163" s="514"/>
      <c r="P163" s="514"/>
      <c r="Q163" s="514"/>
      <c r="S163" s="15"/>
      <c r="T163" s="4"/>
      <c r="U163" s="542">
        <v>94</v>
      </c>
      <c r="V163" s="828"/>
      <c r="W163" s="829"/>
      <c r="Y163" s="1009">
        <f t="shared" si="3"/>
        <v>0</v>
      </c>
      <c r="Z163" s="599"/>
      <c r="AA163" s="599"/>
      <c r="AB163" s="599"/>
      <c r="AC163" s="599"/>
      <c r="AD163" s="599"/>
      <c r="AE163" s="599"/>
      <c r="AF163" s="599"/>
      <c r="AG163" s="599"/>
      <c r="AH163" s="599"/>
      <c r="AI163" s="649"/>
      <c r="AJ163" s="649"/>
      <c r="AK163" s="649"/>
      <c r="AL163" s="147"/>
    </row>
    <row r="164" spans="1:38">
      <c r="A164" s="4"/>
      <c r="B164" s="542">
        <v>95</v>
      </c>
      <c r="C164" s="826"/>
      <c r="D164" s="827"/>
      <c r="F164" s="1008">
        <f t="shared" si="2"/>
        <v>0</v>
      </c>
      <c r="G164" s="514"/>
      <c r="H164" s="514"/>
      <c r="I164" s="514"/>
      <c r="J164" s="514"/>
      <c r="K164" s="514"/>
      <c r="L164" s="514"/>
      <c r="M164" s="514"/>
      <c r="N164" s="514"/>
      <c r="O164" s="514"/>
      <c r="P164" s="514"/>
      <c r="Q164" s="514"/>
      <c r="S164" s="15"/>
      <c r="T164" s="4"/>
      <c r="U164" s="542">
        <v>95</v>
      </c>
      <c r="V164" s="828"/>
      <c r="W164" s="829"/>
      <c r="Y164" s="1009">
        <f t="shared" si="3"/>
        <v>0</v>
      </c>
      <c r="Z164" s="599"/>
      <c r="AA164" s="599"/>
      <c r="AB164" s="599"/>
      <c r="AC164" s="599"/>
      <c r="AD164" s="599"/>
      <c r="AE164" s="599"/>
      <c r="AF164" s="599"/>
      <c r="AG164" s="599"/>
      <c r="AH164" s="599"/>
      <c r="AI164" s="649"/>
      <c r="AJ164" s="649"/>
      <c r="AK164" s="649"/>
      <c r="AL164" s="147"/>
    </row>
    <row r="165" spans="1:38">
      <c r="A165" s="4"/>
      <c r="B165" s="542">
        <v>96</v>
      </c>
      <c r="C165" s="826"/>
      <c r="D165" s="827"/>
      <c r="F165" s="1008">
        <f t="shared" si="2"/>
        <v>0</v>
      </c>
      <c r="G165" s="514"/>
      <c r="H165" s="514"/>
      <c r="I165" s="514"/>
      <c r="J165" s="514"/>
      <c r="K165" s="514"/>
      <c r="L165" s="514"/>
      <c r="M165" s="514"/>
      <c r="N165" s="514"/>
      <c r="O165" s="514"/>
      <c r="P165" s="514"/>
      <c r="Q165" s="514"/>
      <c r="S165" s="15"/>
      <c r="T165" s="4"/>
      <c r="U165" s="542">
        <v>96</v>
      </c>
      <c r="V165" s="828"/>
      <c r="W165" s="829"/>
      <c r="Y165" s="1009">
        <f t="shared" si="3"/>
        <v>0</v>
      </c>
      <c r="Z165" s="599"/>
      <c r="AA165" s="599"/>
      <c r="AB165" s="599"/>
      <c r="AC165" s="599"/>
      <c r="AD165" s="599"/>
      <c r="AE165" s="599"/>
      <c r="AF165" s="599"/>
      <c r="AG165" s="599"/>
      <c r="AH165" s="599"/>
      <c r="AI165" s="649"/>
      <c r="AJ165" s="649"/>
      <c r="AK165" s="649"/>
      <c r="AL165" s="147"/>
    </row>
    <row r="166" spans="1:38">
      <c r="A166" s="4"/>
      <c r="B166" s="542">
        <v>97</v>
      </c>
      <c r="C166" s="826"/>
      <c r="D166" s="827"/>
      <c r="F166" s="1008">
        <f t="shared" si="2"/>
        <v>0</v>
      </c>
      <c r="G166" s="514"/>
      <c r="H166" s="514"/>
      <c r="I166" s="514"/>
      <c r="J166" s="514"/>
      <c r="K166" s="514"/>
      <c r="L166" s="514"/>
      <c r="M166" s="514"/>
      <c r="N166" s="514"/>
      <c r="O166" s="514"/>
      <c r="P166" s="514"/>
      <c r="Q166" s="514"/>
      <c r="S166" s="15"/>
      <c r="T166" s="4"/>
      <c r="U166" s="542">
        <v>97</v>
      </c>
      <c r="V166" s="828"/>
      <c r="W166" s="829"/>
      <c r="Y166" s="1009">
        <f t="shared" si="3"/>
        <v>0</v>
      </c>
      <c r="Z166" s="599"/>
      <c r="AA166" s="599"/>
      <c r="AB166" s="599"/>
      <c r="AC166" s="599"/>
      <c r="AD166" s="599"/>
      <c r="AE166" s="599"/>
      <c r="AF166" s="599"/>
      <c r="AG166" s="599"/>
      <c r="AH166" s="599"/>
      <c r="AI166" s="649"/>
      <c r="AJ166" s="649"/>
      <c r="AK166" s="649"/>
      <c r="AL166" s="147"/>
    </row>
    <row r="167" spans="1:38">
      <c r="A167" s="4"/>
      <c r="B167" s="542">
        <v>98</v>
      </c>
      <c r="C167" s="826"/>
      <c r="D167" s="827"/>
      <c r="F167" s="1008">
        <f t="shared" si="2"/>
        <v>0</v>
      </c>
      <c r="G167" s="514"/>
      <c r="H167" s="514"/>
      <c r="I167" s="514"/>
      <c r="J167" s="514"/>
      <c r="K167" s="514"/>
      <c r="L167" s="514"/>
      <c r="M167" s="514"/>
      <c r="N167" s="514"/>
      <c r="O167" s="514"/>
      <c r="P167" s="514"/>
      <c r="Q167" s="514"/>
      <c r="S167" s="15"/>
      <c r="T167" s="4"/>
      <c r="U167" s="542">
        <v>98</v>
      </c>
      <c r="V167" s="828"/>
      <c r="W167" s="829"/>
      <c r="Y167" s="1009">
        <f t="shared" si="3"/>
        <v>0</v>
      </c>
      <c r="Z167" s="599"/>
      <c r="AA167" s="599"/>
      <c r="AB167" s="599"/>
      <c r="AC167" s="599"/>
      <c r="AD167" s="599"/>
      <c r="AE167" s="599"/>
      <c r="AF167" s="599"/>
      <c r="AG167" s="599"/>
      <c r="AH167" s="599"/>
      <c r="AI167" s="649"/>
      <c r="AJ167" s="649"/>
      <c r="AK167" s="649"/>
      <c r="AL167" s="147"/>
    </row>
    <row r="168" spans="1:38">
      <c r="A168" s="4"/>
      <c r="B168" s="542">
        <v>99</v>
      </c>
      <c r="C168" s="826"/>
      <c r="D168" s="827"/>
      <c r="F168" s="1008">
        <f t="shared" si="2"/>
        <v>0</v>
      </c>
      <c r="G168" s="514"/>
      <c r="H168" s="514"/>
      <c r="I168" s="514"/>
      <c r="J168" s="514"/>
      <c r="K168" s="514"/>
      <c r="L168" s="514"/>
      <c r="M168" s="514"/>
      <c r="N168" s="514"/>
      <c r="O168" s="514"/>
      <c r="P168" s="514"/>
      <c r="Q168" s="514"/>
      <c r="S168" s="15"/>
      <c r="T168" s="4"/>
      <c r="U168" s="542">
        <v>99</v>
      </c>
      <c r="V168" s="828"/>
      <c r="W168" s="829"/>
      <c r="Y168" s="1009">
        <f t="shared" si="3"/>
        <v>0</v>
      </c>
      <c r="Z168" s="599"/>
      <c r="AA168" s="599"/>
      <c r="AB168" s="599"/>
      <c r="AC168" s="599"/>
      <c r="AD168" s="599"/>
      <c r="AE168" s="599"/>
      <c r="AF168" s="599"/>
      <c r="AG168" s="599"/>
      <c r="AH168" s="599"/>
      <c r="AI168" s="649"/>
      <c r="AJ168" s="649"/>
      <c r="AK168" s="649"/>
      <c r="AL168" s="147"/>
    </row>
    <row r="169" spans="1:38">
      <c r="A169" s="4"/>
      <c r="B169" s="542">
        <v>100</v>
      </c>
      <c r="C169" s="826"/>
      <c r="D169" s="827"/>
      <c r="F169" s="1008">
        <f t="shared" si="2"/>
        <v>0</v>
      </c>
      <c r="G169" s="514"/>
      <c r="H169" s="514"/>
      <c r="I169" s="514"/>
      <c r="J169" s="514"/>
      <c r="K169" s="514"/>
      <c r="L169" s="514"/>
      <c r="M169" s="514"/>
      <c r="N169" s="514"/>
      <c r="O169" s="514"/>
      <c r="P169" s="514"/>
      <c r="Q169" s="514"/>
      <c r="S169" s="15"/>
      <c r="T169" s="4"/>
      <c r="U169" s="542">
        <v>100</v>
      </c>
      <c r="V169" s="828"/>
      <c r="W169" s="829"/>
      <c r="Y169" s="1009">
        <f t="shared" si="3"/>
        <v>0</v>
      </c>
      <c r="Z169" s="599"/>
      <c r="AA169" s="599"/>
      <c r="AB169" s="599"/>
      <c r="AC169" s="599"/>
      <c r="AD169" s="599"/>
      <c r="AE169" s="599"/>
      <c r="AF169" s="599"/>
      <c r="AG169" s="599"/>
      <c r="AH169" s="599"/>
      <c r="AI169" s="649"/>
      <c r="AJ169" s="649"/>
      <c r="AK169" s="649"/>
      <c r="AL169" s="147"/>
    </row>
    <row r="170" spans="1:38">
      <c r="A170" s="4"/>
      <c r="B170" s="542">
        <v>101</v>
      </c>
      <c r="C170" s="826"/>
      <c r="D170" s="827"/>
      <c r="F170" s="1008">
        <f t="shared" si="2"/>
        <v>0</v>
      </c>
      <c r="G170" s="514"/>
      <c r="H170" s="514"/>
      <c r="I170" s="514"/>
      <c r="J170" s="514"/>
      <c r="K170" s="514"/>
      <c r="L170" s="514"/>
      <c r="M170" s="514"/>
      <c r="N170" s="514"/>
      <c r="O170" s="514"/>
      <c r="P170" s="514"/>
      <c r="Q170" s="514"/>
      <c r="S170" s="15"/>
      <c r="T170" s="4"/>
      <c r="U170" s="542">
        <v>101</v>
      </c>
      <c r="V170" s="828"/>
      <c r="W170" s="829"/>
      <c r="Y170" s="1009">
        <f t="shared" si="3"/>
        <v>0</v>
      </c>
      <c r="Z170" s="599"/>
      <c r="AA170" s="599"/>
      <c r="AB170" s="599"/>
      <c r="AC170" s="599"/>
      <c r="AD170" s="599"/>
      <c r="AE170" s="599"/>
      <c r="AF170" s="599"/>
      <c r="AG170" s="599"/>
      <c r="AH170" s="599"/>
      <c r="AI170" s="649"/>
      <c r="AJ170" s="649"/>
      <c r="AK170" s="649"/>
      <c r="AL170" s="147"/>
    </row>
    <row r="171" spans="1:38">
      <c r="A171" s="4"/>
      <c r="B171" s="542">
        <v>102</v>
      </c>
      <c r="C171" s="826"/>
      <c r="D171" s="827"/>
      <c r="F171" s="1008">
        <f t="shared" si="2"/>
        <v>0</v>
      </c>
      <c r="G171" s="514"/>
      <c r="H171" s="514"/>
      <c r="I171" s="514"/>
      <c r="J171" s="514"/>
      <c r="K171" s="514"/>
      <c r="L171" s="514"/>
      <c r="M171" s="514"/>
      <c r="N171" s="514"/>
      <c r="O171" s="514"/>
      <c r="P171" s="514"/>
      <c r="Q171" s="514"/>
      <c r="S171" s="15"/>
      <c r="T171" s="4"/>
      <c r="U171" s="542">
        <v>102</v>
      </c>
      <c r="V171" s="828"/>
      <c r="W171" s="829"/>
      <c r="Y171" s="1009">
        <f t="shared" si="3"/>
        <v>0</v>
      </c>
      <c r="Z171" s="599"/>
      <c r="AA171" s="599"/>
      <c r="AB171" s="599"/>
      <c r="AC171" s="599"/>
      <c r="AD171" s="599"/>
      <c r="AE171" s="599"/>
      <c r="AF171" s="599"/>
      <c r="AG171" s="599"/>
      <c r="AH171" s="599"/>
      <c r="AI171" s="649"/>
      <c r="AJ171" s="649"/>
      <c r="AK171" s="649"/>
      <c r="AL171" s="147"/>
    </row>
    <row r="172" spans="1:38">
      <c r="A172" s="4"/>
      <c r="B172" s="542">
        <v>103</v>
      </c>
      <c r="C172" s="828"/>
      <c r="D172" s="829"/>
      <c r="F172" s="1008">
        <f t="shared" si="2"/>
        <v>0</v>
      </c>
      <c r="G172" s="514"/>
      <c r="H172" s="514"/>
      <c r="I172" s="514"/>
      <c r="J172" s="514"/>
      <c r="K172" s="514"/>
      <c r="L172" s="514"/>
      <c r="M172" s="514"/>
      <c r="N172" s="514"/>
      <c r="O172" s="514"/>
      <c r="P172" s="514"/>
      <c r="Q172" s="514"/>
      <c r="S172" s="15"/>
      <c r="T172" s="4"/>
      <c r="U172" s="542">
        <v>103</v>
      </c>
      <c r="V172" s="828"/>
      <c r="W172" s="829"/>
      <c r="Y172" s="1009">
        <f t="shared" si="3"/>
        <v>0</v>
      </c>
      <c r="Z172" s="599"/>
      <c r="AA172" s="599"/>
      <c r="AB172" s="599"/>
      <c r="AC172" s="599"/>
      <c r="AD172" s="599"/>
      <c r="AE172" s="599"/>
      <c r="AF172" s="599"/>
      <c r="AG172" s="599"/>
      <c r="AH172" s="599"/>
      <c r="AI172" s="649"/>
      <c r="AJ172" s="649"/>
      <c r="AK172" s="649"/>
      <c r="AL172" s="147"/>
    </row>
    <row r="173" spans="1:38">
      <c r="A173" s="4"/>
      <c r="B173" s="542">
        <v>104</v>
      </c>
      <c r="C173" s="828"/>
      <c r="D173" s="829"/>
      <c r="F173" s="1008">
        <f t="shared" si="2"/>
        <v>0</v>
      </c>
      <c r="G173" s="514"/>
      <c r="H173" s="514"/>
      <c r="I173" s="514"/>
      <c r="J173" s="514"/>
      <c r="K173" s="514"/>
      <c r="L173" s="514"/>
      <c r="M173" s="514"/>
      <c r="N173" s="514"/>
      <c r="O173" s="514"/>
      <c r="P173" s="514"/>
      <c r="Q173" s="514"/>
      <c r="S173" s="15"/>
      <c r="T173" s="4"/>
      <c r="U173" s="542">
        <v>104</v>
      </c>
      <c r="V173" s="828"/>
      <c r="W173" s="829"/>
      <c r="Y173" s="1009">
        <f t="shared" si="3"/>
        <v>0</v>
      </c>
      <c r="Z173" s="599"/>
      <c r="AA173" s="599"/>
      <c r="AB173" s="599"/>
      <c r="AC173" s="599"/>
      <c r="AD173" s="599"/>
      <c r="AE173" s="599"/>
      <c r="AF173" s="599"/>
      <c r="AG173" s="599"/>
      <c r="AH173" s="599"/>
      <c r="AI173" s="649"/>
      <c r="AJ173" s="649"/>
      <c r="AK173" s="649"/>
      <c r="AL173" s="147"/>
    </row>
    <row r="174" spans="1:38">
      <c r="A174" s="4"/>
      <c r="B174" s="542">
        <v>105</v>
      </c>
      <c r="C174" s="828"/>
      <c r="D174" s="829"/>
      <c r="F174" s="1008">
        <f t="shared" si="2"/>
        <v>0</v>
      </c>
      <c r="G174" s="514"/>
      <c r="H174" s="514"/>
      <c r="I174" s="514"/>
      <c r="J174" s="514"/>
      <c r="K174" s="514"/>
      <c r="L174" s="514"/>
      <c r="M174" s="514"/>
      <c r="N174" s="514"/>
      <c r="O174" s="514"/>
      <c r="P174" s="514"/>
      <c r="Q174" s="514"/>
      <c r="S174" s="15"/>
      <c r="T174" s="4"/>
      <c r="U174" s="542">
        <v>105</v>
      </c>
      <c r="V174" s="828"/>
      <c r="W174" s="829"/>
      <c r="Y174" s="1009">
        <f t="shared" si="3"/>
        <v>0</v>
      </c>
      <c r="Z174" s="599"/>
      <c r="AA174" s="599"/>
      <c r="AB174" s="599"/>
      <c r="AC174" s="599"/>
      <c r="AD174" s="599"/>
      <c r="AE174" s="599"/>
      <c r="AF174" s="599"/>
      <c r="AG174" s="599"/>
      <c r="AH174" s="599"/>
      <c r="AI174" s="649"/>
      <c r="AJ174" s="649"/>
      <c r="AK174" s="649"/>
      <c r="AL174" s="147"/>
    </row>
    <row r="175" spans="1:38">
      <c r="A175" s="4"/>
      <c r="B175" s="542">
        <v>106</v>
      </c>
      <c r="C175" s="828"/>
      <c r="D175" s="829"/>
      <c r="F175" s="1008">
        <f t="shared" si="2"/>
        <v>0</v>
      </c>
      <c r="G175" s="514"/>
      <c r="H175" s="514"/>
      <c r="I175" s="514"/>
      <c r="J175" s="514"/>
      <c r="K175" s="514"/>
      <c r="L175" s="514"/>
      <c r="M175" s="514"/>
      <c r="N175" s="514"/>
      <c r="O175" s="514"/>
      <c r="P175" s="514"/>
      <c r="Q175" s="514"/>
      <c r="S175" s="15"/>
      <c r="T175" s="4"/>
      <c r="U175" s="542">
        <v>106</v>
      </c>
      <c r="V175" s="828"/>
      <c r="W175" s="829"/>
      <c r="Y175" s="1009">
        <f t="shared" si="3"/>
        <v>0</v>
      </c>
      <c r="Z175" s="599"/>
      <c r="AA175" s="599"/>
      <c r="AB175" s="599"/>
      <c r="AC175" s="599"/>
      <c r="AD175" s="599"/>
      <c r="AE175" s="599"/>
      <c r="AF175" s="599"/>
      <c r="AG175" s="599"/>
      <c r="AH175" s="599"/>
      <c r="AI175" s="649"/>
      <c r="AJ175" s="649"/>
      <c r="AK175" s="649"/>
      <c r="AL175" s="147"/>
    </row>
    <row r="176" spans="1:38">
      <c r="A176" s="4"/>
      <c r="B176" s="542">
        <v>107</v>
      </c>
      <c r="C176" s="828"/>
      <c r="D176" s="829"/>
      <c r="F176" s="1008">
        <f t="shared" si="2"/>
        <v>0</v>
      </c>
      <c r="G176" s="514"/>
      <c r="H176" s="514"/>
      <c r="I176" s="514"/>
      <c r="J176" s="514"/>
      <c r="K176" s="514"/>
      <c r="L176" s="514"/>
      <c r="M176" s="514"/>
      <c r="N176" s="514"/>
      <c r="O176" s="514"/>
      <c r="P176" s="514"/>
      <c r="Q176" s="514"/>
      <c r="S176" s="15"/>
      <c r="T176" s="4"/>
      <c r="U176" s="542">
        <v>107</v>
      </c>
      <c r="V176" s="828"/>
      <c r="W176" s="829"/>
      <c r="Y176" s="1009">
        <f t="shared" si="3"/>
        <v>0</v>
      </c>
      <c r="Z176" s="599"/>
      <c r="AA176" s="599"/>
      <c r="AB176" s="599"/>
      <c r="AC176" s="599"/>
      <c r="AD176" s="599"/>
      <c r="AE176" s="599"/>
      <c r="AF176" s="599"/>
      <c r="AG176" s="599"/>
      <c r="AH176" s="599"/>
      <c r="AI176" s="649"/>
      <c r="AJ176" s="649"/>
      <c r="AK176" s="649"/>
      <c r="AL176" s="147"/>
    </row>
    <row r="177" spans="1:38">
      <c r="A177" s="4"/>
      <c r="B177" s="542">
        <v>108</v>
      </c>
      <c r="C177" s="828"/>
      <c r="D177" s="829"/>
      <c r="F177" s="1008">
        <f t="shared" si="2"/>
        <v>0</v>
      </c>
      <c r="G177" s="514"/>
      <c r="H177" s="514"/>
      <c r="I177" s="514"/>
      <c r="J177" s="514"/>
      <c r="K177" s="514"/>
      <c r="L177" s="514"/>
      <c r="M177" s="514"/>
      <c r="N177" s="514"/>
      <c r="O177" s="514"/>
      <c r="P177" s="514"/>
      <c r="Q177" s="514"/>
      <c r="S177" s="15"/>
      <c r="T177" s="4"/>
      <c r="U177" s="542">
        <v>108</v>
      </c>
      <c r="V177" s="828"/>
      <c r="W177" s="829"/>
      <c r="Y177" s="1009">
        <f t="shared" si="3"/>
        <v>0</v>
      </c>
      <c r="Z177" s="599"/>
      <c r="AA177" s="599"/>
      <c r="AB177" s="599"/>
      <c r="AC177" s="599"/>
      <c r="AD177" s="599"/>
      <c r="AE177" s="599"/>
      <c r="AF177" s="599"/>
      <c r="AG177" s="599"/>
      <c r="AH177" s="599"/>
      <c r="AI177" s="649"/>
      <c r="AJ177" s="649"/>
      <c r="AK177" s="649"/>
      <c r="AL177" s="147"/>
    </row>
    <row r="178" spans="1:38">
      <c r="A178" s="4"/>
      <c r="B178" s="542">
        <v>109</v>
      </c>
      <c r="C178" s="828"/>
      <c r="D178" s="829"/>
      <c r="F178" s="1008">
        <f t="shared" si="2"/>
        <v>0</v>
      </c>
      <c r="G178" s="514"/>
      <c r="H178" s="514"/>
      <c r="I178" s="514"/>
      <c r="J178" s="514"/>
      <c r="K178" s="514"/>
      <c r="L178" s="514"/>
      <c r="M178" s="514"/>
      <c r="N178" s="514"/>
      <c r="O178" s="514"/>
      <c r="P178" s="514"/>
      <c r="Q178" s="514"/>
      <c r="S178" s="15"/>
      <c r="T178" s="4"/>
      <c r="U178" s="542">
        <v>109</v>
      </c>
      <c r="V178" s="828"/>
      <c r="W178" s="829"/>
      <c r="Y178" s="1009">
        <f t="shared" si="3"/>
        <v>0</v>
      </c>
      <c r="Z178" s="599"/>
      <c r="AA178" s="599"/>
      <c r="AB178" s="599"/>
      <c r="AC178" s="599"/>
      <c r="AD178" s="599"/>
      <c r="AE178" s="599"/>
      <c r="AF178" s="599"/>
      <c r="AG178" s="599"/>
      <c r="AH178" s="599"/>
      <c r="AI178" s="649"/>
      <c r="AJ178" s="649"/>
      <c r="AK178" s="649"/>
      <c r="AL178" s="147"/>
    </row>
    <row r="179" spans="1:38">
      <c r="A179" s="4"/>
      <c r="B179" s="542">
        <v>110</v>
      </c>
      <c r="C179" s="828"/>
      <c r="D179" s="829"/>
      <c r="F179" s="1008">
        <f t="shared" si="2"/>
        <v>0</v>
      </c>
      <c r="G179" s="514"/>
      <c r="H179" s="514"/>
      <c r="I179" s="514"/>
      <c r="J179" s="514"/>
      <c r="K179" s="514"/>
      <c r="L179" s="514"/>
      <c r="M179" s="514"/>
      <c r="N179" s="514"/>
      <c r="O179" s="514"/>
      <c r="P179" s="514"/>
      <c r="Q179" s="514"/>
      <c r="S179" s="15"/>
      <c r="T179" s="4"/>
      <c r="U179" s="542">
        <v>110</v>
      </c>
      <c r="V179" s="828"/>
      <c r="W179" s="829"/>
      <c r="Y179" s="1009">
        <f t="shared" si="3"/>
        <v>0</v>
      </c>
      <c r="Z179" s="599"/>
      <c r="AA179" s="599"/>
      <c r="AB179" s="599"/>
      <c r="AC179" s="599"/>
      <c r="AD179" s="599"/>
      <c r="AE179" s="599"/>
      <c r="AF179" s="599"/>
      <c r="AG179" s="599"/>
      <c r="AH179" s="599"/>
      <c r="AI179" s="649"/>
      <c r="AJ179" s="649"/>
      <c r="AK179" s="649"/>
      <c r="AL179" s="147"/>
    </row>
    <row r="180" spans="1:38">
      <c r="A180" s="4"/>
      <c r="B180" s="542">
        <v>111</v>
      </c>
      <c r="C180" s="828"/>
      <c r="D180" s="829"/>
      <c r="F180" s="1008">
        <f t="shared" si="2"/>
        <v>0</v>
      </c>
      <c r="G180" s="514"/>
      <c r="H180" s="514"/>
      <c r="I180" s="514"/>
      <c r="J180" s="514"/>
      <c r="K180" s="514"/>
      <c r="L180" s="514"/>
      <c r="M180" s="514"/>
      <c r="N180" s="514"/>
      <c r="O180" s="514"/>
      <c r="P180" s="514"/>
      <c r="Q180" s="514"/>
      <c r="S180" s="15"/>
      <c r="T180" s="4"/>
      <c r="U180" s="542">
        <v>111</v>
      </c>
      <c r="V180" s="828"/>
      <c r="W180" s="829"/>
      <c r="Y180" s="1009">
        <f t="shared" si="3"/>
        <v>0</v>
      </c>
      <c r="Z180" s="599"/>
      <c r="AA180" s="599"/>
      <c r="AB180" s="599"/>
      <c r="AC180" s="599"/>
      <c r="AD180" s="599"/>
      <c r="AE180" s="599"/>
      <c r="AF180" s="599"/>
      <c r="AG180" s="599"/>
      <c r="AH180" s="599"/>
      <c r="AI180" s="649"/>
      <c r="AJ180" s="649"/>
      <c r="AK180" s="649"/>
      <c r="AL180" s="147"/>
    </row>
    <row r="181" spans="1:38">
      <c r="A181" s="4"/>
      <c r="B181" s="542">
        <v>112</v>
      </c>
      <c r="C181" s="828"/>
      <c r="D181" s="829"/>
      <c r="F181" s="1008">
        <f t="shared" si="2"/>
        <v>0</v>
      </c>
      <c r="G181" s="514"/>
      <c r="H181" s="514"/>
      <c r="I181" s="514"/>
      <c r="J181" s="514"/>
      <c r="K181" s="514"/>
      <c r="L181" s="514"/>
      <c r="M181" s="514"/>
      <c r="N181" s="514"/>
      <c r="O181" s="514"/>
      <c r="P181" s="514"/>
      <c r="Q181" s="514"/>
      <c r="S181" s="15"/>
      <c r="T181" s="4"/>
      <c r="U181" s="542">
        <v>112</v>
      </c>
      <c r="V181" s="828"/>
      <c r="W181" s="829"/>
      <c r="Y181" s="1009">
        <f t="shared" si="3"/>
        <v>0</v>
      </c>
      <c r="Z181" s="599"/>
      <c r="AA181" s="599"/>
      <c r="AB181" s="599"/>
      <c r="AC181" s="599"/>
      <c r="AD181" s="599"/>
      <c r="AE181" s="599"/>
      <c r="AF181" s="599"/>
      <c r="AG181" s="599"/>
      <c r="AH181" s="599"/>
      <c r="AI181" s="649"/>
      <c r="AJ181" s="649"/>
      <c r="AK181" s="649"/>
      <c r="AL181" s="147"/>
    </row>
    <row r="182" spans="1:38">
      <c r="A182" s="4"/>
      <c r="B182" s="542">
        <v>113</v>
      </c>
      <c r="C182" s="828"/>
      <c r="D182" s="829"/>
      <c r="F182" s="1008">
        <f t="shared" si="2"/>
        <v>0</v>
      </c>
      <c r="G182" s="514"/>
      <c r="H182" s="514"/>
      <c r="I182" s="514"/>
      <c r="J182" s="514"/>
      <c r="K182" s="514"/>
      <c r="L182" s="514"/>
      <c r="M182" s="514"/>
      <c r="N182" s="514"/>
      <c r="O182" s="514"/>
      <c r="P182" s="514"/>
      <c r="Q182" s="514"/>
      <c r="S182" s="15"/>
      <c r="T182" s="4"/>
      <c r="U182" s="542">
        <v>113</v>
      </c>
      <c r="V182" s="828"/>
      <c r="W182" s="829"/>
      <c r="Y182" s="1009">
        <f t="shared" si="3"/>
        <v>0</v>
      </c>
      <c r="Z182" s="599"/>
      <c r="AA182" s="599"/>
      <c r="AB182" s="599"/>
      <c r="AC182" s="599"/>
      <c r="AD182" s="599"/>
      <c r="AE182" s="599"/>
      <c r="AF182" s="599"/>
      <c r="AG182" s="599"/>
      <c r="AH182" s="599"/>
      <c r="AI182" s="649"/>
      <c r="AJ182" s="649"/>
      <c r="AK182" s="649"/>
      <c r="AL182" s="147"/>
    </row>
    <row r="183" spans="1:38">
      <c r="A183" s="4"/>
      <c r="B183" s="542">
        <v>114</v>
      </c>
      <c r="C183" s="828"/>
      <c r="D183" s="829"/>
      <c r="F183" s="1008">
        <f t="shared" si="2"/>
        <v>0</v>
      </c>
      <c r="G183" s="514"/>
      <c r="H183" s="514"/>
      <c r="I183" s="514"/>
      <c r="J183" s="514"/>
      <c r="K183" s="514"/>
      <c r="L183" s="514"/>
      <c r="M183" s="514"/>
      <c r="N183" s="514"/>
      <c r="O183" s="514"/>
      <c r="P183" s="514"/>
      <c r="Q183" s="514"/>
      <c r="S183" s="15"/>
      <c r="T183" s="4"/>
      <c r="U183" s="542">
        <v>114</v>
      </c>
      <c r="V183" s="828"/>
      <c r="W183" s="829"/>
      <c r="Y183" s="1009">
        <f t="shared" si="3"/>
        <v>0</v>
      </c>
      <c r="Z183" s="599"/>
      <c r="AA183" s="599"/>
      <c r="AB183" s="599"/>
      <c r="AC183" s="599"/>
      <c r="AD183" s="599"/>
      <c r="AE183" s="599"/>
      <c r="AF183" s="599"/>
      <c r="AG183" s="599"/>
      <c r="AH183" s="599"/>
      <c r="AI183" s="649"/>
      <c r="AJ183" s="649"/>
      <c r="AK183" s="649"/>
      <c r="AL183" s="147"/>
    </row>
    <row r="184" spans="1:38">
      <c r="A184" s="4"/>
      <c r="B184" s="542">
        <v>115</v>
      </c>
      <c r="C184" s="828"/>
      <c r="D184" s="829"/>
      <c r="F184" s="1008">
        <f t="shared" si="2"/>
        <v>0</v>
      </c>
      <c r="G184" s="514"/>
      <c r="H184" s="514"/>
      <c r="I184" s="514"/>
      <c r="J184" s="514"/>
      <c r="K184" s="514"/>
      <c r="L184" s="514"/>
      <c r="M184" s="514"/>
      <c r="N184" s="514"/>
      <c r="O184" s="514"/>
      <c r="P184" s="514"/>
      <c r="Q184" s="514"/>
      <c r="S184" s="15"/>
      <c r="T184" s="4"/>
      <c r="U184" s="542">
        <v>115</v>
      </c>
      <c r="V184" s="828"/>
      <c r="W184" s="829"/>
      <c r="Y184" s="1009">
        <f t="shared" si="3"/>
        <v>0</v>
      </c>
      <c r="Z184" s="599"/>
      <c r="AA184" s="599"/>
      <c r="AB184" s="599"/>
      <c r="AC184" s="599"/>
      <c r="AD184" s="599"/>
      <c r="AE184" s="599"/>
      <c r="AF184" s="599"/>
      <c r="AG184" s="599"/>
      <c r="AH184" s="599"/>
      <c r="AI184" s="649"/>
      <c r="AJ184" s="649"/>
      <c r="AK184" s="649"/>
      <c r="AL184" s="147"/>
    </row>
    <row r="185" spans="1:38">
      <c r="A185" s="4"/>
      <c r="B185" s="542">
        <v>116</v>
      </c>
      <c r="C185" s="828"/>
      <c r="D185" s="829"/>
      <c r="F185" s="1008">
        <f t="shared" si="2"/>
        <v>0</v>
      </c>
      <c r="G185" s="514"/>
      <c r="H185" s="514"/>
      <c r="I185" s="514"/>
      <c r="J185" s="514"/>
      <c r="K185" s="514"/>
      <c r="L185" s="514"/>
      <c r="M185" s="514"/>
      <c r="N185" s="514"/>
      <c r="O185" s="514"/>
      <c r="P185" s="514"/>
      <c r="Q185" s="514"/>
      <c r="S185" s="15"/>
      <c r="T185" s="4"/>
      <c r="U185" s="542">
        <v>116</v>
      </c>
      <c r="V185" s="828"/>
      <c r="W185" s="829"/>
      <c r="Y185" s="1009">
        <f t="shared" si="3"/>
        <v>0</v>
      </c>
      <c r="Z185" s="599"/>
      <c r="AA185" s="599"/>
      <c r="AB185" s="599"/>
      <c r="AC185" s="599"/>
      <c r="AD185" s="599"/>
      <c r="AE185" s="599"/>
      <c r="AF185" s="599"/>
      <c r="AG185" s="599"/>
      <c r="AH185" s="599"/>
      <c r="AI185" s="649"/>
      <c r="AJ185" s="649"/>
      <c r="AK185" s="649"/>
      <c r="AL185" s="147"/>
    </row>
    <row r="186" spans="1:38">
      <c r="A186" s="4"/>
      <c r="B186" s="542">
        <v>117</v>
      </c>
      <c r="C186" s="828"/>
      <c r="D186" s="829"/>
      <c r="F186" s="1008">
        <f t="shared" si="2"/>
        <v>0</v>
      </c>
      <c r="G186" s="514"/>
      <c r="H186" s="514"/>
      <c r="I186" s="514"/>
      <c r="J186" s="514"/>
      <c r="K186" s="514"/>
      <c r="L186" s="514"/>
      <c r="M186" s="514"/>
      <c r="N186" s="514"/>
      <c r="O186" s="514"/>
      <c r="P186" s="514"/>
      <c r="Q186" s="514"/>
      <c r="S186" s="15"/>
      <c r="T186" s="4"/>
      <c r="U186" s="542">
        <v>117</v>
      </c>
      <c r="V186" s="828"/>
      <c r="W186" s="829"/>
      <c r="Y186" s="1009">
        <f t="shared" si="3"/>
        <v>0</v>
      </c>
      <c r="Z186" s="599"/>
      <c r="AA186" s="599"/>
      <c r="AB186" s="599"/>
      <c r="AC186" s="599"/>
      <c r="AD186" s="599"/>
      <c r="AE186" s="599"/>
      <c r="AF186" s="599"/>
      <c r="AG186" s="599"/>
      <c r="AH186" s="599"/>
      <c r="AI186" s="649"/>
      <c r="AJ186" s="649"/>
      <c r="AK186" s="649"/>
      <c r="AL186" s="147"/>
    </row>
    <row r="187" spans="1:38">
      <c r="A187" s="4"/>
      <c r="B187" s="542">
        <v>118</v>
      </c>
      <c r="C187" s="828"/>
      <c r="D187" s="829"/>
      <c r="F187" s="1008">
        <f t="shared" si="2"/>
        <v>0</v>
      </c>
      <c r="G187" s="514"/>
      <c r="H187" s="514"/>
      <c r="I187" s="514"/>
      <c r="J187" s="514"/>
      <c r="K187" s="514"/>
      <c r="L187" s="514"/>
      <c r="M187" s="514"/>
      <c r="N187" s="514"/>
      <c r="O187" s="514"/>
      <c r="P187" s="514"/>
      <c r="Q187" s="514"/>
      <c r="S187" s="15"/>
      <c r="T187" s="4"/>
      <c r="U187" s="542">
        <v>118</v>
      </c>
      <c r="V187" s="828"/>
      <c r="W187" s="829"/>
      <c r="Y187" s="1009">
        <f t="shared" si="3"/>
        <v>0</v>
      </c>
      <c r="Z187" s="599"/>
      <c r="AA187" s="599"/>
      <c r="AB187" s="599"/>
      <c r="AC187" s="599"/>
      <c r="AD187" s="599"/>
      <c r="AE187" s="599"/>
      <c r="AF187" s="599"/>
      <c r="AG187" s="599"/>
      <c r="AH187" s="599"/>
      <c r="AI187" s="649"/>
      <c r="AJ187" s="649"/>
      <c r="AK187" s="649"/>
      <c r="AL187" s="147"/>
    </row>
    <row r="188" spans="1:38">
      <c r="A188" s="4"/>
      <c r="B188" s="542">
        <v>119</v>
      </c>
      <c r="C188" s="828"/>
      <c r="D188" s="829"/>
      <c r="F188" s="1008">
        <f t="shared" si="2"/>
        <v>0</v>
      </c>
      <c r="G188" s="514"/>
      <c r="H188" s="514"/>
      <c r="I188" s="514"/>
      <c r="J188" s="514"/>
      <c r="K188" s="514"/>
      <c r="L188" s="514"/>
      <c r="M188" s="514"/>
      <c r="N188" s="514"/>
      <c r="O188" s="514"/>
      <c r="P188" s="514"/>
      <c r="Q188" s="514"/>
      <c r="S188" s="15"/>
      <c r="T188" s="4"/>
      <c r="U188" s="542">
        <v>119</v>
      </c>
      <c r="V188" s="828"/>
      <c r="W188" s="829"/>
      <c r="Y188" s="1009">
        <f t="shared" si="3"/>
        <v>0</v>
      </c>
      <c r="Z188" s="599"/>
      <c r="AA188" s="599"/>
      <c r="AB188" s="599"/>
      <c r="AC188" s="599"/>
      <c r="AD188" s="599"/>
      <c r="AE188" s="599"/>
      <c r="AF188" s="599"/>
      <c r="AG188" s="599"/>
      <c r="AH188" s="599"/>
      <c r="AI188" s="649"/>
      <c r="AJ188" s="649"/>
      <c r="AK188" s="649"/>
      <c r="AL188" s="147"/>
    </row>
    <row r="189" spans="1:38">
      <c r="A189" s="4"/>
      <c r="B189" s="542">
        <v>120</v>
      </c>
      <c r="C189" s="828"/>
      <c r="D189" s="829"/>
      <c r="F189" s="1008">
        <f t="shared" si="2"/>
        <v>0</v>
      </c>
      <c r="G189" s="514"/>
      <c r="H189" s="514"/>
      <c r="I189" s="514"/>
      <c r="J189" s="514"/>
      <c r="K189" s="514"/>
      <c r="L189" s="514"/>
      <c r="M189" s="514"/>
      <c r="N189" s="514"/>
      <c r="O189" s="514"/>
      <c r="P189" s="514"/>
      <c r="Q189" s="514"/>
      <c r="S189" s="15"/>
      <c r="T189" s="4"/>
      <c r="U189" s="542">
        <v>120</v>
      </c>
      <c r="V189" s="828"/>
      <c r="W189" s="829"/>
      <c r="Y189" s="1009">
        <f t="shared" si="3"/>
        <v>0</v>
      </c>
      <c r="Z189" s="599"/>
      <c r="AA189" s="599"/>
      <c r="AB189" s="599"/>
      <c r="AC189" s="599"/>
      <c r="AD189" s="599"/>
      <c r="AE189" s="599"/>
      <c r="AF189" s="599"/>
      <c r="AG189" s="599"/>
      <c r="AH189" s="599"/>
      <c r="AI189" s="649"/>
      <c r="AJ189" s="649"/>
      <c r="AK189" s="649"/>
      <c r="AL189" s="147"/>
    </row>
    <row r="190" spans="1:38">
      <c r="B190" s="542">
        <v>121</v>
      </c>
      <c r="C190" s="828"/>
      <c r="D190" s="829"/>
      <c r="F190" s="1008">
        <f t="shared" si="2"/>
        <v>0</v>
      </c>
      <c r="G190" s="514"/>
      <c r="H190" s="514"/>
      <c r="I190" s="514"/>
      <c r="J190" s="514"/>
      <c r="K190" s="514"/>
      <c r="L190" s="514"/>
      <c r="M190" s="514"/>
      <c r="N190" s="514"/>
      <c r="O190" s="514"/>
      <c r="P190" s="514"/>
      <c r="Q190" s="514"/>
      <c r="S190" s="15"/>
      <c r="U190" s="542">
        <v>121</v>
      </c>
      <c r="V190" s="828"/>
      <c r="W190" s="829"/>
      <c r="Y190" s="1009">
        <f t="shared" si="3"/>
        <v>0</v>
      </c>
      <c r="Z190" s="599"/>
      <c r="AA190" s="599"/>
      <c r="AB190" s="599"/>
      <c r="AC190" s="599"/>
      <c r="AD190" s="599"/>
      <c r="AE190" s="599"/>
      <c r="AF190" s="599"/>
      <c r="AG190" s="599"/>
      <c r="AH190" s="599"/>
      <c r="AI190" s="649"/>
      <c r="AJ190" s="649"/>
      <c r="AK190" s="649"/>
      <c r="AL190" s="147"/>
    </row>
    <row r="191" spans="1:38">
      <c r="B191" s="542">
        <v>122</v>
      </c>
      <c r="C191" s="828"/>
      <c r="D191" s="829"/>
      <c r="F191" s="1008">
        <f t="shared" si="2"/>
        <v>0</v>
      </c>
      <c r="G191" s="514"/>
      <c r="H191" s="514"/>
      <c r="I191" s="514"/>
      <c r="J191" s="514"/>
      <c r="K191" s="514"/>
      <c r="L191" s="514"/>
      <c r="M191" s="514"/>
      <c r="N191" s="514"/>
      <c r="O191" s="514"/>
      <c r="P191" s="514"/>
      <c r="Q191" s="514"/>
      <c r="S191" s="15"/>
      <c r="U191" s="542">
        <v>122</v>
      </c>
      <c r="V191" s="828"/>
      <c r="W191" s="829"/>
      <c r="Y191" s="1009">
        <f t="shared" si="3"/>
        <v>0</v>
      </c>
      <c r="Z191" s="514"/>
      <c r="AA191" s="514"/>
      <c r="AB191" s="514"/>
      <c r="AC191" s="514"/>
      <c r="AD191" s="514"/>
      <c r="AE191" s="514"/>
      <c r="AF191" s="514"/>
      <c r="AG191" s="514"/>
      <c r="AH191" s="514"/>
      <c r="AI191" s="1010"/>
      <c r="AJ191" s="1010"/>
      <c r="AK191" s="1010"/>
      <c r="AL191" s="15"/>
    </row>
    <row r="192" spans="1:38">
      <c r="B192" s="542">
        <v>123</v>
      </c>
      <c r="C192" s="828"/>
      <c r="D192" s="829"/>
      <c r="F192" s="1008">
        <f t="shared" si="2"/>
        <v>0</v>
      </c>
      <c r="G192" s="514"/>
      <c r="H192" s="514"/>
      <c r="I192" s="514"/>
      <c r="J192" s="514"/>
      <c r="K192" s="514"/>
      <c r="L192" s="514"/>
      <c r="M192" s="514"/>
      <c r="N192" s="514"/>
      <c r="O192" s="514"/>
      <c r="P192" s="514"/>
      <c r="Q192" s="514"/>
      <c r="S192" s="15"/>
      <c r="U192" s="542">
        <v>123</v>
      </c>
      <c r="V192" s="828"/>
      <c r="W192" s="829"/>
      <c r="Y192" s="1009">
        <f t="shared" si="3"/>
        <v>0</v>
      </c>
      <c r="Z192" s="514"/>
      <c r="AA192" s="514"/>
      <c r="AB192" s="514"/>
      <c r="AC192" s="514"/>
      <c r="AD192" s="514"/>
      <c r="AE192" s="514"/>
      <c r="AF192" s="514"/>
      <c r="AG192" s="514"/>
      <c r="AH192" s="514"/>
      <c r="AI192" s="1010"/>
      <c r="AJ192" s="1010"/>
      <c r="AK192" s="1010"/>
      <c r="AL192" s="15"/>
    </row>
    <row r="193" spans="2:38">
      <c r="B193" s="542">
        <v>124</v>
      </c>
      <c r="C193" s="828"/>
      <c r="D193" s="829"/>
      <c r="F193" s="1008">
        <f t="shared" si="2"/>
        <v>0</v>
      </c>
      <c r="G193" s="514"/>
      <c r="H193" s="514"/>
      <c r="I193" s="514"/>
      <c r="J193" s="514"/>
      <c r="K193" s="514"/>
      <c r="L193" s="514"/>
      <c r="M193" s="514"/>
      <c r="N193" s="514"/>
      <c r="O193" s="514"/>
      <c r="P193" s="514"/>
      <c r="Q193" s="514"/>
      <c r="S193" s="15"/>
      <c r="U193" s="542">
        <v>124</v>
      </c>
      <c r="V193" s="828"/>
      <c r="W193" s="829"/>
      <c r="Y193" s="1009">
        <f t="shared" si="3"/>
        <v>0</v>
      </c>
      <c r="Z193" s="514"/>
      <c r="AA193" s="514"/>
      <c r="AB193" s="514"/>
      <c r="AC193" s="514"/>
      <c r="AD193" s="514"/>
      <c r="AE193" s="514"/>
      <c r="AF193" s="514"/>
      <c r="AG193" s="514"/>
      <c r="AH193" s="514"/>
      <c r="AI193" s="1010"/>
      <c r="AJ193" s="1010"/>
      <c r="AK193" s="1010"/>
      <c r="AL193" s="15"/>
    </row>
    <row r="194" spans="2:38">
      <c r="B194" s="542">
        <v>125</v>
      </c>
      <c r="C194" s="828"/>
      <c r="D194" s="829"/>
      <c r="F194" s="1008">
        <f t="shared" si="2"/>
        <v>0</v>
      </c>
      <c r="G194" s="514"/>
      <c r="H194" s="514"/>
      <c r="I194" s="514"/>
      <c r="J194" s="514"/>
      <c r="K194" s="514"/>
      <c r="L194" s="514"/>
      <c r="M194" s="514"/>
      <c r="N194" s="514"/>
      <c r="O194" s="514"/>
      <c r="P194" s="514"/>
      <c r="Q194" s="514"/>
      <c r="S194" s="15"/>
      <c r="U194" s="542">
        <v>125</v>
      </c>
      <c r="V194" s="828"/>
      <c r="W194" s="829"/>
      <c r="Y194" s="1009">
        <f t="shared" si="3"/>
        <v>0</v>
      </c>
      <c r="Z194" s="514"/>
      <c r="AA194" s="514"/>
      <c r="AB194" s="514"/>
      <c r="AC194" s="514"/>
      <c r="AD194" s="514"/>
      <c r="AE194" s="514"/>
      <c r="AF194" s="514"/>
      <c r="AG194" s="514"/>
      <c r="AH194" s="514"/>
      <c r="AI194" s="1010"/>
      <c r="AJ194" s="1010"/>
      <c r="AK194" s="1010"/>
      <c r="AL194" s="15"/>
    </row>
    <row r="195" spans="2:38">
      <c r="B195" s="542">
        <v>126</v>
      </c>
      <c r="C195" s="828"/>
      <c r="D195" s="829"/>
      <c r="F195" s="1008">
        <f t="shared" si="2"/>
        <v>0</v>
      </c>
      <c r="G195" s="514"/>
      <c r="H195" s="514"/>
      <c r="I195" s="514"/>
      <c r="J195" s="514"/>
      <c r="K195" s="514"/>
      <c r="L195" s="514"/>
      <c r="M195" s="514"/>
      <c r="N195" s="514"/>
      <c r="O195" s="514"/>
      <c r="P195" s="514"/>
      <c r="Q195" s="514"/>
      <c r="S195" s="15"/>
      <c r="U195" s="542">
        <v>126</v>
      </c>
      <c r="V195" s="828"/>
      <c r="W195" s="829"/>
      <c r="Y195" s="1009">
        <f t="shared" si="3"/>
        <v>0</v>
      </c>
      <c r="Z195" s="514"/>
      <c r="AA195" s="514"/>
      <c r="AB195" s="514"/>
      <c r="AC195" s="514"/>
      <c r="AD195" s="514"/>
      <c r="AE195" s="514"/>
      <c r="AF195" s="514"/>
      <c r="AG195" s="514"/>
      <c r="AH195" s="514"/>
      <c r="AI195" s="1010"/>
      <c r="AJ195" s="1010"/>
      <c r="AK195" s="1010"/>
      <c r="AL195" s="15"/>
    </row>
    <row r="196" spans="2:38">
      <c r="B196" s="542">
        <v>127</v>
      </c>
      <c r="C196" s="828"/>
      <c r="D196" s="829"/>
      <c r="F196" s="1008">
        <f t="shared" si="2"/>
        <v>0</v>
      </c>
      <c r="G196" s="514"/>
      <c r="H196" s="514"/>
      <c r="I196" s="514"/>
      <c r="J196" s="514"/>
      <c r="K196" s="514"/>
      <c r="L196" s="514"/>
      <c r="M196" s="514"/>
      <c r="N196" s="514"/>
      <c r="O196" s="514"/>
      <c r="P196" s="514"/>
      <c r="Q196" s="514"/>
      <c r="S196" s="15"/>
      <c r="U196" s="542">
        <v>127</v>
      </c>
      <c r="V196" s="828"/>
      <c r="W196" s="829"/>
      <c r="Y196" s="1009">
        <f t="shared" si="3"/>
        <v>0</v>
      </c>
      <c r="Z196" s="514"/>
      <c r="AA196" s="514"/>
      <c r="AB196" s="514"/>
      <c r="AC196" s="514"/>
      <c r="AD196" s="514"/>
      <c r="AE196" s="514"/>
      <c r="AF196" s="514"/>
      <c r="AG196" s="514"/>
      <c r="AH196" s="514"/>
      <c r="AI196" s="1010"/>
      <c r="AJ196" s="1010"/>
      <c r="AK196" s="1010"/>
      <c r="AL196" s="15"/>
    </row>
    <row r="197" spans="2:38">
      <c r="B197" s="542">
        <v>128</v>
      </c>
      <c r="C197" s="828"/>
      <c r="D197" s="829"/>
      <c r="F197" s="1008">
        <f t="shared" si="2"/>
        <v>0</v>
      </c>
      <c r="G197" s="514"/>
      <c r="H197" s="514"/>
      <c r="I197" s="514"/>
      <c r="J197" s="514"/>
      <c r="K197" s="514"/>
      <c r="L197" s="514"/>
      <c r="M197" s="514"/>
      <c r="N197" s="514"/>
      <c r="O197" s="514"/>
      <c r="P197" s="514"/>
      <c r="Q197" s="514"/>
      <c r="S197" s="15"/>
      <c r="U197" s="542">
        <v>128</v>
      </c>
      <c r="V197" s="828"/>
      <c r="W197" s="829"/>
      <c r="Y197" s="1009">
        <f t="shared" si="3"/>
        <v>0</v>
      </c>
      <c r="Z197" s="514"/>
      <c r="AA197" s="514"/>
      <c r="AB197" s="514"/>
      <c r="AC197" s="514"/>
      <c r="AD197" s="514"/>
      <c r="AE197" s="514"/>
      <c r="AF197" s="514"/>
      <c r="AG197" s="514"/>
      <c r="AH197" s="514"/>
      <c r="AI197" s="1010"/>
      <c r="AJ197" s="1010"/>
      <c r="AK197" s="1010"/>
      <c r="AL197" s="15"/>
    </row>
    <row r="198" spans="2:38">
      <c r="B198" s="542">
        <v>129</v>
      </c>
      <c r="C198" s="828"/>
      <c r="D198" s="829"/>
      <c r="F198" s="1008">
        <f t="shared" si="2"/>
        <v>0</v>
      </c>
      <c r="G198" s="514"/>
      <c r="H198" s="514"/>
      <c r="I198" s="514"/>
      <c r="J198" s="514"/>
      <c r="K198" s="514"/>
      <c r="L198" s="514"/>
      <c r="M198" s="514"/>
      <c r="N198" s="514"/>
      <c r="O198" s="514"/>
      <c r="P198" s="514"/>
      <c r="Q198" s="514"/>
      <c r="S198" s="15"/>
      <c r="U198" s="542">
        <v>129</v>
      </c>
      <c r="V198" s="828"/>
      <c r="W198" s="829"/>
      <c r="Y198" s="1009">
        <f t="shared" si="3"/>
        <v>0</v>
      </c>
      <c r="Z198" s="514"/>
      <c r="AA198" s="514"/>
      <c r="AB198" s="514"/>
      <c r="AC198" s="514"/>
      <c r="AD198" s="514"/>
      <c r="AE198" s="514"/>
      <c r="AF198" s="514"/>
      <c r="AG198" s="514"/>
      <c r="AH198" s="514"/>
      <c r="AI198" s="1010"/>
      <c r="AJ198" s="1010"/>
      <c r="AK198" s="1010"/>
      <c r="AL198" s="15"/>
    </row>
    <row r="199" spans="2:38">
      <c r="B199" s="542">
        <v>130</v>
      </c>
      <c r="C199" s="828"/>
      <c r="D199" s="829"/>
      <c r="F199" s="1008">
        <f t="shared" si="2"/>
        <v>0</v>
      </c>
      <c r="G199" s="514"/>
      <c r="H199" s="514"/>
      <c r="I199" s="514"/>
      <c r="J199" s="514"/>
      <c r="K199" s="514"/>
      <c r="L199" s="514"/>
      <c r="M199" s="514"/>
      <c r="N199" s="514"/>
      <c r="O199" s="514"/>
      <c r="P199" s="514"/>
      <c r="Q199" s="514"/>
      <c r="S199" s="15"/>
      <c r="U199" s="542">
        <v>130</v>
      </c>
      <c r="V199" s="828"/>
      <c r="W199" s="829"/>
      <c r="Y199" s="1009">
        <f t="shared" si="3"/>
        <v>0</v>
      </c>
      <c r="Z199" s="514"/>
      <c r="AA199" s="514"/>
      <c r="AB199" s="514"/>
      <c r="AC199" s="514"/>
      <c r="AD199" s="514"/>
      <c r="AE199" s="514"/>
      <c r="AF199" s="514"/>
      <c r="AG199" s="514"/>
      <c r="AH199" s="514"/>
      <c r="AI199" s="1010"/>
      <c r="AJ199" s="1010"/>
      <c r="AK199" s="1010"/>
      <c r="AL199" s="15"/>
    </row>
    <row r="200" spans="2:38">
      <c r="B200" s="542">
        <v>131</v>
      </c>
      <c r="C200" s="828"/>
      <c r="D200" s="829"/>
      <c r="F200" s="1008">
        <f t="shared" ref="F200:F263" si="4">D200-D199</f>
        <v>0</v>
      </c>
      <c r="G200" s="514"/>
      <c r="H200" s="514"/>
      <c r="I200" s="514"/>
      <c r="J200" s="514"/>
      <c r="K200" s="514"/>
      <c r="L200" s="514"/>
      <c r="M200" s="514"/>
      <c r="N200" s="514"/>
      <c r="O200" s="514"/>
      <c r="P200" s="514"/>
      <c r="Q200" s="514"/>
      <c r="S200" s="15"/>
      <c r="U200" s="542">
        <v>131</v>
      </c>
      <c r="V200" s="828"/>
      <c r="W200" s="829"/>
      <c r="Y200" s="1009">
        <f t="shared" ref="Y200:Y263" si="5">W200-W199</f>
        <v>0</v>
      </c>
      <c r="Z200" s="514"/>
      <c r="AA200" s="514"/>
      <c r="AB200" s="514"/>
      <c r="AC200" s="514"/>
      <c r="AD200" s="514"/>
      <c r="AE200" s="514"/>
      <c r="AF200" s="514"/>
      <c r="AG200" s="514"/>
      <c r="AH200" s="514"/>
      <c r="AI200" s="1010"/>
      <c r="AJ200" s="1010"/>
      <c r="AK200" s="1010"/>
      <c r="AL200" s="15"/>
    </row>
    <row r="201" spans="2:38">
      <c r="B201" s="542">
        <v>132</v>
      </c>
      <c r="C201" s="828"/>
      <c r="D201" s="829"/>
      <c r="F201" s="1008">
        <f t="shared" si="4"/>
        <v>0</v>
      </c>
      <c r="G201" s="514"/>
      <c r="H201" s="514"/>
      <c r="I201" s="514"/>
      <c r="J201" s="514"/>
      <c r="K201" s="514"/>
      <c r="L201" s="514"/>
      <c r="M201" s="514"/>
      <c r="N201" s="514"/>
      <c r="O201" s="514"/>
      <c r="P201" s="514"/>
      <c r="Q201" s="514"/>
      <c r="S201" s="15"/>
      <c r="U201" s="542">
        <v>132</v>
      </c>
      <c r="V201" s="828"/>
      <c r="W201" s="829"/>
      <c r="Y201" s="1009">
        <f t="shared" si="5"/>
        <v>0</v>
      </c>
      <c r="Z201" s="514"/>
      <c r="AA201" s="514"/>
      <c r="AB201" s="514"/>
      <c r="AC201" s="514"/>
      <c r="AD201" s="514"/>
      <c r="AE201" s="514"/>
      <c r="AF201" s="514"/>
      <c r="AG201" s="514"/>
      <c r="AH201" s="514"/>
      <c r="AI201" s="1010"/>
      <c r="AJ201" s="1010"/>
      <c r="AK201" s="1010"/>
      <c r="AL201" s="15"/>
    </row>
    <row r="202" spans="2:38">
      <c r="B202" s="542">
        <v>133</v>
      </c>
      <c r="C202" s="828"/>
      <c r="D202" s="829"/>
      <c r="F202" s="1008">
        <f t="shared" si="4"/>
        <v>0</v>
      </c>
      <c r="G202" s="514"/>
      <c r="H202" s="514"/>
      <c r="I202" s="514"/>
      <c r="J202" s="514"/>
      <c r="K202" s="514"/>
      <c r="L202" s="514"/>
      <c r="M202" s="514"/>
      <c r="N202" s="514"/>
      <c r="O202" s="514"/>
      <c r="P202" s="514"/>
      <c r="Q202" s="514"/>
      <c r="S202" s="15"/>
      <c r="U202" s="542">
        <v>133</v>
      </c>
      <c r="V202" s="828"/>
      <c r="W202" s="829"/>
      <c r="Y202" s="1009">
        <f t="shared" si="5"/>
        <v>0</v>
      </c>
      <c r="Z202" s="514"/>
      <c r="AA202" s="514"/>
      <c r="AB202" s="514"/>
      <c r="AC202" s="514"/>
      <c r="AD202" s="514"/>
      <c r="AE202" s="514"/>
      <c r="AF202" s="514"/>
      <c r="AG202" s="514"/>
      <c r="AH202" s="514"/>
      <c r="AI202" s="1010"/>
      <c r="AJ202" s="1010"/>
      <c r="AK202" s="1010"/>
      <c r="AL202" s="15"/>
    </row>
    <row r="203" spans="2:38">
      <c r="B203" s="542">
        <v>134</v>
      </c>
      <c r="C203" s="828"/>
      <c r="D203" s="829"/>
      <c r="F203" s="1008">
        <f t="shared" si="4"/>
        <v>0</v>
      </c>
      <c r="G203" s="514"/>
      <c r="H203" s="514"/>
      <c r="I203" s="514"/>
      <c r="J203" s="514"/>
      <c r="K203" s="514"/>
      <c r="L203" s="514"/>
      <c r="M203" s="514"/>
      <c r="N203" s="514"/>
      <c r="O203" s="514"/>
      <c r="P203" s="514"/>
      <c r="Q203" s="514"/>
      <c r="S203" s="15"/>
      <c r="U203" s="542">
        <v>134</v>
      </c>
      <c r="V203" s="828"/>
      <c r="W203" s="829"/>
      <c r="Y203" s="1009">
        <f t="shared" si="5"/>
        <v>0</v>
      </c>
      <c r="Z203" s="514"/>
      <c r="AA203" s="514"/>
      <c r="AB203" s="514"/>
      <c r="AC203" s="514"/>
      <c r="AD203" s="514"/>
      <c r="AE203" s="514"/>
      <c r="AF203" s="514"/>
      <c r="AG203" s="514"/>
      <c r="AH203" s="514"/>
      <c r="AI203" s="1010"/>
      <c r="AJ203" s="1010"/>
      <c r="AK203" s="1010"/>
      <c r="AL203" s="15"/>
    </row>
    <row r="204" spans="2:38">
      <c r="B204" s="542">
        <v>135</v>
      </c>
      <c r="C204" s="828"/>
      <c r="D204" s="829"/>
      <c r="F204" s="1008">
        <f t="shared" si="4"/>
        <v>0</v>
      </c>
      <c r="G204" s="514"/>
      <c r="H204" s="514"/>
      <c r="I204" s="514"/>
      <c r="J204" s="514"/>
      <c r="K204" s="514"/>
      <c r="L204" s="514"/>
      <c r="M204" s="514"/>
      <c r="N204" s="514"/>
      <c r="O204" s="514"/>
      <c r="P204" s="514"/>
      <c r="Q204" s="514"/>
      <c r="S204" s="15"/>
      <c r="U204" s="542">
        <v>135</v>
      </c>
      <c r="V204" s="828"/>
      <c r="W204" s="829"/>
      <c r="Y204" s="1009">
        <f t="shared" si="5"/>
        <v>0</v>
      </c>
      <c r="Z204" s="514"/>
      <c r="AA204" s="514"/>
      <c r="AB204" s="514"/>
      <c r="AC204" s="514"/>
      <c r="AD204" s="514"/>
      <c r="AE204" s="514"/>
      <c r="AF204" s="514"/>
      <c r="AG204" s="514"/>
      <c r="AH204" s="514"/>
      <c r="AI204" s="1010"/>
      <c r="AJ204" s="1010"/>
      <c r="AK204" s="1010"/>
      <c r="AL204" s="15"/>
    </row>
    <row r="205" spans="2:38">
      <c r="B205" s="542">
        <v>136</v>
      </c>
      <c r="C205" s="828"/>
      <c r="D205" s="829"/>
      <c r="F205" s="1008">
        <f t="shared" si="4"/>
        <v>0</v>
      </c>
      <c r="G205" s="514"/>
      <c r="H205" s="514"/>
      <c r="I205" s="514"/>
      <c r="J205" s="514"/>
      <c r="K205" s="514"/>
      <c r="L205" s="514"/>
      <c r="M205" s="514"/>
      <c r="N205" s="514"/>
      <c r="O205" s="514"/>
      <c r="P205" s="514"/>
      <c r="Q205" s="514"/>
      <c r="S205" s="15"/>
      <c r="U205" s="542">
        <v>136</v>
      </c>
      <c r="V205" s="828"/>
      <c r="W205" s="829"/>
      <c r="Y205" s="1009">
        <f t="shared" si="5"/>
        <v>0</v>
      </c>
      <c r="Z205" s="514"/>
      <c r="AA205" s="514"/>
      <c r="AB205" s="514"/>
      <c r="AC205" s="514"/>
      <c r="AD205" s="514"/>
      <c r="AE205" s="514"/>
      <c r="AF205" s="514"/>
      <c r="AG205" s="514"/>
      <c r="AH205" s="514"/>
      <c r="AI205" s="1010"/>
      <c r="AJ205" s="1010"/>
      <c r="AK205" s="1010"/>
      <c r="AL205" s="15"/>
    </row>
    <row r="206" spans="2:38">
      <c r="B206" s="542">
        <v>137</v>
      </c>
      <c r="C206" s="828"/>
      <c r="D206" s="829"/>
      <c r="F206" s="1008">
        <f t="shared" si="4"/>
        <v>0</v>
      </c>
      <c r="G206" s="514"/>
      <c r="H206" s="514"/>
      <c r="I206" s="514"/>
      <c r="J206" s="514"/>
      <c r="K206" s="514"/>
      <c r="L206" s="514"/>
      <c r="M206" s="514"/>
      <c r="N206" s="514"/>
      <c r="O206" s="514"/>
      <c r="P206" s="514"/>
      <c r="Q206" s="514"/>
      <c r="S206" s="15"/>
      <c r="U206" s="542">
        <v>137</v>
      </c>
      <c r="V206" s="828"/>
      <c r="W206" s="829"/>
      <c r="Y206" s="1009">
        <f t="shared" si="5"/>
        <v>0</v>
      </c>
      <c r="Z206" s="514"/>
      <c r="AA206" s="514"/>
      <c r="AB206" s="514"/>
      <c r="AC206" s="514"/>
      <c r="AD206" s="514"/>
      <c r="AE206" s="514"/>
      <c r="AF206" s="514"/>
      <c r="AG206" s="514"/>
      <c r="AH206" s="514"/>
      <c r="AI206" s="1010"/>
      <c r="AJ206" s="1010"/>
      <c r="AK206" s="1010"/>
      <c r="AL206" s="15"/>
    </row>
    <row r="207" spans="2:38">
      <c r="B207" s="542">
        <v>138</v>
      </c>
      <c r="C207" s="828"/>
      <c r="D207" s="829"/>
      <c r="F207" s="1008">
        <f t="shared" si="4"/>
        <v>0</v>
      </c>
      <c r="G207" s="514"/>
      <c r="H207" s="514"/>
      <c r="I207" s="514"/>
      <c r="J207" s="514"/>
      <c r="K207" s="514"/>
      <c r="L207" s="514"/>
      <c r="M207" s="514"/>
      <c r="N207" s="514"/>
      <c r="O207" s="514"/>
      <c r="P207" s="514"/>
      <c r="Q207" s="514"/>
      <c r="S207" s="15"/>
      <c r="U207" s="542">
        <v>138</v>
      </c>
      <c r="V207" s="828"/>
      <c r="W207" s="829"/>
      <c r="Y207" s="1009">
        <f t="shared" si="5"/>
        <v>0</v>
      </c>
      <c r="Z207" s="514"/>
      <c r="AA207" s="514"/>
      <c r="AB207" s="514"/>
      <c r="AC207" s="514"/>
      <c r="AD207" s="514"/>
      <c r="AE207" s="514"/>
      <c r="AF207" s="514"/>
      <c r="AG207" s="514"/>
      <c r="AH207" s="514"/>
      <c r="AI207" s="1010"/>
      <c r="AJ207" s="1010"/>
      <c r="AK207" s="1010"/>
      <c r="AL207" s="15"/>
    </row>
    <row r="208" spans="2:38">
      <c r="B208" s="542">
        <v>139</v>
      </c>
      <c r="C208" s="828"/>
      <c r="D208" s="829"/>
      <c r="F208" s="1008">
        <f t="shared" si="4"/>
        <v>0</v>
      </c>
      <c r="G208" s="514"/>
      <c r="H208" s="514"/>
      <c r="I208" s="514"/>
      <c r="J208" s="514"/>
      <c r="K208" s="514"/>
      <c r="L208" s="514"/>
      <c r="M208" s="514"/>
      <c r="N208" s="514"/>
      <c r="O208" s="514"/>
      <c r="P208" s="514"/>
      <c r="Q208" s="514"/>
      <c r="S208" s="15"/>
      <c r="U208" s="542">
        <v>139</v>
      </c>
      <c r="V208" s="828"/>
      <c r="W208" s="829"/>
      <c r="Y208" s="1009">
        <f t="shared" si="5"/>
        <v>0</v>
      </c>
      <c r="Z208" s="514"/>
      <c r="AA208" s="514"/>
      <c r="AB208" s="514"/>
      <c r="AC208" s="514"/>
      <c r="AD208" s="514"/>
      <c r="AE208" s="514"/>
      <c r="AF208" s="514"/>
      <c r="AG208" s="514"/>
      <c r="AH208" s="514"/>
      <c r="AI208" s="1010"/>
      <c r="AJ208" s="1010"/>
      <c r="AK208" s="1010"/>
      <c r="AL208" s="15"/>
    </row>
    <row r="209" spans="2:38">
      <c r="B209" s="542">
        <v>140</v>
      </c>
      <c r="C209" s="828"/>
      <c r="D209" s="829"/>
      <c r="F209" s="1008">
        <f t="shared" si="4"/>
        <v>0</v>
      </c>
      <c r="G209" s="514"/>
      <c r="H209" s="514"/>
      <c r="I209" s="514"/>
      <c r="J209" s="514"/>
      <c r="K209" s="514"/>
      <c r="L209" s="514"/>
      <c r="M209" s="514"/>
      <c r="N209" s="514"/>
      <c r="O209" s="514"/>
      <c r="P209" s="514"/>
      <c r="Q209" s="514"/>
      <c r="S209" s="15"/>
      <c r="U209" s="542">
        <v>140</v>
      </c>
      <c r="V209" s="828"/>
      <c r="W209" s="829"/>
      <c r="Y209" s="1009">
        <f t="shared" si="5"/>
        <v>0</v>
      </c>
      <c r="Z209" s="514"/>
      <c r="AA209" s="514"/>
      <c r="AB209" s="514"/>
      <c r="AC209" s="514"/>
      <c r="AD209" s="514"/>
      <c r="AE209" s="514"/>
      <c r="AF209" s="514"/>
      <c r="AG209" s="514"/>
      <c r="AH209" s="514"/>
      <c r="AI209" s="1010"/>
      <c r="AJ209" s="1010"/>
      <c r="AK209" s="1010"/>
      <c r="AL209" s="15"/>
    </row>
    <row r="210" spans="2:38">
      <c r="B210" s="542">
        <v>141</v>
      </c>
      <c r="C210" s="828"/>
      <c r="D210" s="829"/>
      <c r="F210" s="1008">
        <f t="shared" si="4"/>
        <v>0</v>
      </c>
      <c r="G210" s="514"/>
      <c r="H210" s="514"/>
      <c r="I210" s="514"/>
      <c r="J210" s="514"/>
      <c r="K210" s="514"/>
      <c r="L210" s="514"/>
      <c r="M210" s="514"/>
      <c r="N210" s="514"/>
      <c r="O210" s="514"/>
      <c r="P210" s="514"/>
      <c r="Q210" s="514"/>
      <c r="S210" s="15"/>
      <c r="U210" s="542">
        <v>141</v>
      </c>
      <c r="V210" s="828"/>
      <c r="W210" s="829"/>
      <c r="Y210" s="1009">
        <f t="shared" si="5"/>
        <v>0</v>
      </c>
      <c r="Z210" s="514"/>
      <c r="AA210" s="514"/>
      <c r="AB210" s="514"/>
      <c r="AC210" s="514"/>
      <c r="AD210" s="514"/>
      <c r="AE210" s="514"/>
      <c r="AF210" s="514"/>
      <c r="AG210" s="514"/>
      <c r="AH210" s="514"/>
      <c r="AI210" s="1010"/>
      <c r="AJ210" s="1010"/>
      <c r="AK210" s="1010"/>
      <c r="AL210" s="15"/>
    </row>
    <row r="211" spans="2:38">
      <c r="B211" s="542">
        <v>142</v>
      </c>
      <c r="C211" s="828"/>
      <c r="D211" s="829"/>
      <c r="F211" s="1008">
        <f t="shared" si="4"/>
        <v>0</v>
      </c>
      <c r="G211" s="514"/>
      <c r="H211" s="514"/>
      <c r="I211" s="514"/>
      <c r="J211" s="514"/>
      <c r="K211" s="514"/>
      <c r="L211" s="514"/>
      <c r="M211" s="514"/>
      <c r="N211" s="514"/>
      <c r="O211" s="514"/>
      <c r="P211" s="514"/>
      <c r="Q211" s="514"/>
      <c r="S211" s="15"/>
      <c r="U211" s="542">
        <v>142</v>
      </c>
      <c r="V211" s="828"/>
      <c r="W211" s="829"/>
      <c r="Y211" s="1009">
        <f t="shared" si="5"/>
        <v>0</v>
      </c>
      <c r="Z211" s="514"/>
      <c r="AA211" s="514"/>
      <c r="AB211" s="514"/>
      <c r="AC211" s="514"/>
      <c r="AD211" s="514"/>
      <c r="AE211" s="514"/>
      <c r="AF211" s="514"/>
      <c r="AG211" s="514"/>
      <c r="AH211" s="514"/>
      <c r="AI211" s="1010"/>
      <c r="AJ211" s="1010"/>
      <c r="AK211" s="1010"/>
      <c r="AL211" s="15"/>
    </row>
    <row r="212" spans="2:38">
      <c r="B212" s="542">
        <v>143</v>
      </c>
      <c r="C212" s="828"/>
      <c r="D212" s="829"/>
      <c r="F212" s="1008">
        <f t="shared" si="4"/>
        <v>0</v>
      </c>
      <c r="G212" s="514"/>
      <c r="H212" s="514"/>
      <c r="I212" s="514"/>
      <c r="J212" s="514"/>
      <c r="K212" s="514"/>
      <c r="L212" s="514"/>
      <c r="M212" s="514"/>
      <c r="N212" s="514"/>
      <c r="O212" s="514"/>
      <c r="P212" s="514"/>
      <c r="Q212" s="514"/>
      <c r="S212" s="15"/>
      <c r="U212" s="542">
        <v>143</v>
      </c>
      <c r="V212" s="828"/>
      <c r="W212" s="829"/>
      <c r="Y212" s="1009">
        <f t="shared" si="5"/>
        <v>0</v>
      </c>
      <c r="Z212" s="514"/>
      <c r="AA212" s="514"/>
      <c r="AB212" s="514"/>
      <c r="AC212" s="514"/>
      <c r="AD212" s="514"/>
      <c r="AE212" s="514"/>
      <c r="AF212" s="514"/>
      <c r="AG212" s="514"/>
      <c r="AH212" s="514"/>
      <c r="AI212" s="1010"/>
      <c r="AJ212" s="1010"/>
      <c r="AK212" s="1010"/>
      <c r="AL212" s="15"/>
    </row>
    <row r="213" spans="2:38">
      <c r="B213" s="542">
        <v>144</v>
      </c>
      <c r="C213" s="828"/>
      <c r="D213" s="829"/>
      <c r="F213" s="1008">
        <f t="shared" si="4"/>
        <v>0</v>
      </c>
      <c r="G213" s="514"/>
      <c r="H213" s="514"/>
      <c r="I213" s="514"/>
      <c r="J213" s="514"/>
      <c r="K213" s="514"/>
      <c r="L213" s="514"/>
      <c r="M213" s="514"/>
      <c r="N213" s="514"/>
      <c r="O213" s="514"/>
      <c r="P213" s="514"/>
      <c r="Q213" s="514"/>
      <c r="S213" s="15"/>
      <c r="U213" s="542">
        <v>144</v>
      </c>
      <c r="V213" s="828"/>
      <c r="W213" s="829"/>
      <c r="Y213" s="1009">
        <f t="shared" si="5"/>
        <v>0</v>
      </c>
      <c r="Z213" s="514"/>
      <c r="AA213" s="514"/>
      <c r="AB213" s="514"/>
      <c r="AC213" s="514"/>
      <c r="AD213" s="514"/>
      <c r="AE213" s="514"/>
      <c r="AF213" s="514"/>
      <c r="AG213" s="514"/>
      <c r="AH213" s="514"/>
      <c r="AI213" s="1010"/>
      <c r="AJ213" s="1010"/>
      <c r="AK213" s="1010"/>
      <c r="AL213" s="15"/>
    </row>
    <row r="214" spans="2:38">
      <c r="B214" s="542">
        <v>145</v>
      </c>
      <c r="C214" s="828"/>
      <c r="D214" s="829"/>
      <c r="F214" s="1008">
        <f t="shared" si="4"/>
        <v>0</v>
      </c>
      <c r="G214" s="514"/>
      <c r="H214" s="514"/>
      <c r="I214" s="514"/>
      <c r="J214" s="514"/>
      <c r="K214" s="514"/>
      <c r="L214" s="514"/>
      <c r="M214" s="514"/>
      <c r="N214" s="514"/>
      <c r="O214" s="514"/>
      <c r="P214" s="514"/>
      <c r="Q214" s="514"/>
      <c r="S214" s="15"/>
      <c r="U214" s="542">
        <v>145</v>
      </c>
      <c r="V214" s="828"/>
      <c r="W214" s="829"/>
      <c r="Y214" s="1009">
        <f t="shared" si="5"/>
        <v>0</v>
      </c>
      <c r="Z214" s="514"/>
      <c r="AA214" s="514"/>
      <c r="AB214" s="514"/>
      <c r="AC214" s="514"/>
      <c r="AD214" s="514"/>
      <c r="AE214" s="514"/>
      <c r="AF214" s="514"/>
      <c r="AG214" s="514"/>
      <c r="AH214" s="514"/>
      <c r="AI214" s="1010"/>
      <c r="AJ214" s="1010"/>
      <c r="AK214" s="1010"/>
      <c r="AL214" s="15"/>
    </row>
    <row r="215" spans="2:38">
      <c r="B215" s="542">
        <v>146</v>
      </c>
      <c r="C215" s="828"/>
      <c r="D215" s="829"/>
      <c r="F215" s="1008">
        <f t="shared" si="4"/>
        <v>0</v>
      </c>
      <c r="G215" s="514"/>
      <c r="H215" s="514"/>
      <c r="I215" s="514"/>
      <c r="J215" s="514"/>
      <c r="K215" s="514"/>
      <c r="L215" s="514"/>
      <c r="M215" s="514"/>
      <c r="N215" s="514"/>
      <c r="O215" s="514"/>
      <c r="P215" s="514"/>
      <c r="Q215" s="514"/>
      <c r="S215" s="15"/>
      <c r="U215" s="542">
        <v>146</v>
      </c>
      <c r="V215" s="828"/>
      <c r="W215" s="829"/>
      <c r="Y215" s="1009">
        <f t="shared" si="5"/>
        <v>0</v>
      </c>
      <c r="Z215" s="514"/>
      <c r="AA215" s="514"/>
      <c r="AB215" s="514"/>
      <c r="AC215" s="514"/>
      <c r="AD215" s="514"/>
      <c r="AE215" s="514"/>
      <c r="AF215" s="514"/>
      <c r="AG215" s="514"/>
      <c r="AH215" s="514"/>
      <c r="AI215" s="1010"/>
      <c r="AJ215" s="1010"/>
      <c r="AK215" s="1010"/>
      <c r="AL215" s="15"/>
    </row>
    <row r="216" spans="2:38">
      <c r="B216" s="542">
        <v>147</v>
      </c>
      <c r="C216" s="828"/>
      <c r="D216" s="829"/>
      <c r="F216" s="1008">
        <f t="shared" si="4"/>
        <v>0</v>
      </c>
      <c r="G216" s="514"/>
      <c r="H216" s="514"/>
      <c r="I216" s="514"/>
      <c r="J216" s="514"/>
      <c r="K216" s="514"/>
      <c r="L216" s="514"/>
      <c r="M216" s="514"/>
      <c r="N216" s="514"/>
      <c r="O216" s="514"/>
      <c r="P216" s="514"/>
      <c r="Q216" s="514"/>
      <c r="S216" s="15"/>
      <c r="U216" s="542">
        <v>147</v>
      </c>
      <c r="V216" s="828"/>
      <c r="W216" s="829"/>
      <c r="Y216" s="1009">
        <f t="shared" si="5"/>
        <v>0</v>
      </c>
      <c r="Z216" s="514"/>
      <c r="AA216" s="514"/>
      <c r="AB216" s="514"/>
      <c r="AC216" s="514"/>
      <c r="AD216" s="514"/>
      <c r="AE216" s="514"/>
      <c r="AF216" s="514"/>
      <c r="AG216" s="514"/>
      <c r="AH216" s="514"/>
      <c r="AI216" s="1010"/>
      <c r="AJ216" s="1010"/>
      <c r="AK216" s="1010"/>
      <c r="AL216" s="15"/>
    </row>
    <row r="217" spans="2:38">
      <c r="B217" s="542">
        <v>148</v>
      </c>
      <c r="C217" s="828"/>
      <c r="D217" s="829"/>
      <c r="F217" s="1008">
        <f t="shared" si="4"/>
        <v>0</v>
      </c>
      <c r="G217" s="514"/>
      <c r="H217" s="514"/>
      <c r="I217" s="514"/>
      <c r="J217" s="514"/>
      <c r="K217" s="514"/>
      <c r="L217" s="514"/>
      <c r="M217" s="514"/>
      <c r="N217" s="514"/>
      <c r="O217" s="514"/>
      <c r="P217" s="514"/>
      <c r="Q217" s="514"/>
      <c r="S217" s="15"/>
      <c r="U217" s="542">
        <v>148</v>
      </c>
      <c r="V217" s="828"/>
      <c r="W217" s="829"/>
      <c r="Y217" s="1009">
        <f t="shared" si="5"/>
        <v>0</v>
      </c>
      <c r="Z217" s="514"/>
      <c r="AA217" s="514"/>
      <c r="AB217" s="514"/>
      <c r="AC217" s="514"/>
      <c r="AD217" s="514"/>
      <c r="AE217" s="514"/>
      <c r="AF217" s="514"/>
      <c r="AG217" s="514"/>
      <c r="AH217" s="514"/>
      <c r="AI217" s="1010"/>
      <c r="AJ217" s="1010"/>
      <c r="AK217" s="1010"/>
      <c r="AL217" s="15"/>
    </row>
    <row r="218" spans="2:38">
      <c r="B218" s="542">
        <v>149</v>
      </c>
      <c r="C218" s="828"/>
      <c r="D218" s="829"/>
      <c r="F218" s="1008">
        <f t="shared" si="4"/>
        <v>0</v>
      </c>
      <c r="G218" s="514"/>
      <c r="H218" s="514"/>
      <c r="I218" s="514"/>
      <c r="J218" s="514"/>
      <c r="K218" s="514"/>
      <c r="L218" s="514"/>
      <c r="M218" s="514"/>
      <c r="N218" s="514"/>
      <c r="O218" s="514"/>
      <c r="P218" s="514"/>
      <c r="Q218" s="514"/>
      <c r="S218" s="15"/>
      <c r="U218" s="542">
        <v>149</v>
      </c>
      <c r="V218" s="828"/>
      <c r="W218" s="829"/>
      <c r="Y218" s="1009">
        <f t="shared" si="5"/>
        <v>0</v>
      </c>
      <c r="Z218" s="514"/>
      <c r="AA218" s="514"/>
      <c r="AB218" s="514"/>
      <c r="AC218" s="514"/>
      <c r="AD218" s="514"/>
      <c r="AE218" s="514"/>
      <c r="AF218" s="514"/>
      <c r="AG218" s="514"/>
      <c r="AH218" s="514"/>
      <c r="AI218" s="1010"/>
      <c r="AJ218" s="1010"/>
      <c r="AK218" s="1010"/>
      <c r="AL218" s="15"/>
    </row>
    <row r="219" spans="2:38">
      <c r="B219" s="542">
        <v>150</v>
      </c>
      <c r="C219" s="828"/>
      <c r="D219" s="829"/>
      <c r="F219" s="1008">
        <f t="shared" si="4"/>
        <v>0</v>
      </c>
      <c r="G219" s="514"/>
      <c r="H219" s="514"/>
      <c r="I219" s="514"/>
      <c r="J219" s="514"/>
      <c r="K219" s="514"/>
      <c r="L219" s="514"/>
      <c r="M219" s="514"/>
      <c r="N219" s="514"/>
      <c r="O219" s="514"/>
      <c r="P219" s="514"/>
      <c r="Q219" s="514"/>
      <c r="S219" s="15"/>
      <c r="U219" s="542">
        <v>150</v>
      </c>
      <c r="V219" s="828"/>
      <c r="W219" s="829"/>
      <c r="Y219" s="1009">
        <f t="shared" si="5"/>
        <v>0</v>
      </c>
      <c r="Z219" s="514"/>
      <c r="AA219" s="514"/>
      <c r="AB219" s="514"/>
      <c r="AC219" s="514"/>
      <c r="AD219" s="514"/>
      <c r="AE219" s="514"/>
      <c r="AF219" s="514"/>
      <c r="AG219" s="514"/>
      <c r="AH219" s="514"/>
      <c r="AI219" s="1010"/>
      <c r="AJ219" s="1010"/>
      <c r="AK219" s="1010"/>
      <c r="AL219" s="15"/>
    </row>
    <row r="220" spans="2:38">
      <c r="B220" s="542">
        <v>151</v>
      </c>
      <c r="C220" s="828"/>
      <c r="D220" s="829"/>
      <c r="F220" s="1008">
        <f t="shared" si="4"/>
        <v>0</v>
      </c>
      <c r="G220" s="514"/>
      <c r="H220" s="514"/>
      <c r="I220" s="514"/>
      <c r="J220" s="514"/>
      <c r="K220" s="514"/>
      <c r="L220" s="514"/>
      <c r="M220" s="514"/>
      <c r="N220" s="514"/>
      <c r="O220" s="514"/>
      <c r="P220" s="514"/>
      <c r="Q220" s="514"/>
      <c r="S220" s="15"/>
      <c r="U220" s="542">
        <v>151</v>
      </c>
      <c r="V220" s="828"/>
      <c r="W220" s="829"/>
      <c r="Y220" s="1009">
        <f t="shared" si="5"/>
        <v>0</v>
      </c>
      <c r="Z220" s="514"/>
      <c r="AA220" s="514"/>
      <c r="AB220" s="514"/>
      <c r="AC220" s="514"/>
      <c r="AD220" s="514"/>
      <c r="AE220" s="514"/>
      <c r="AF220" s="514"/>
      <c r="AG220" s="514"/>
      <c r="AH220" s="514"/>
      <c r="AI220" s="1010"/>
      <c r="AJ220" s="1010"/>
      <c r="AK220" s="1010"/>
      <c r="AL220" s="15"/>
    </row>
    <row r="221" spans="2:38">
      <c r="B221" s="542">
        <v>152</v>
      </c>
      <c r="C221" s="828"/>
      <c r="D221" s="829"/>
      <c r="F221" s="1008">
        <f t="shared" si="4"/>
        <v>0</v>
      </c>
      <c r="G221" s="514"/>
      <c r="H221" s="514"/>
      <c r="I221" s="514"/>
      <c r="J221" s="514"/>
      <c r="K221" s="514"/>
      <c r="L221" s="514"/>
      <c r="M221" s="514"/>
      <c r="N221" s="514"/>
      <c r="O221" s="514"/>
      <c r="P221" s="514"/>
      <c r="Q221" s="514"/>
      <c r="S221" s="15"/>
      <c r="U221" s="542">
        <v>152</v>
      </c>
      <c r="V221" s="828"/>
      <c r="W221" s="829"/>
      <c r="Y221" s="1009">
        <f t="shared" si="5"/>
        <v>0</v>
      </c>
      <c r="Z221" s="514"/>
      <c r="AA221" s="514"/>
      <c r="AB221" s="514"/>
      <c r="AC221" s="514"/>
      <c r="AD221" s="514"/>
      <c r="AE221" s="514"/>
      <c r="AF221" s="514"/>
      <c r="AG221" s="514"/>
      <c r="AH221" s="514"/>
      <c r="AI221" s="1010"/>
      <c r="AJ221" s="1010"/>
      <c r="AK221" s="1010"/>
      <c r="AL221" s="15"/>
    </row>
    <row r="222" spans="2:38">
      <c r="B222" s="542">
        <v>153</v>
      </c>
      <c r="C222" s="828"/>
      <c r="D222" s="829"/>
      <c r="F222" s="1008">
        <f t="shared" si="4"/>
        <v>0</v>
      </c>
      <c r="G222" s="514"/>
      <c r="H222" s="514"/>
      <c r="I222" s="514"/>
      <c r="J222" s="514"/>
      <c r="K222" s="514"/>
      <c r="L222" s="514"/>
      <c r="M222" s="514"/>
      <c r="N222" s="514"/>
      <c r="O222" s="514"/>
      <c r="P222" s="514"/>
      <c r="Q222" s="514"/>
      <c r="S222" s="15"/>
      <c r="U222" s="542">
        <v>153</v>
      </c>
      <c r="V222" s="828"/>
      <c r="W222" s="829"/>
      <c r="Y222" s="1009">
        <f t="shared" si="5"/>
        <v>0</v>
      </c>
      <c r="Z222" s="514"/>
      <c r="AA222" s="514"/>
      <c r="AB222" s="514"/>
      <c r="AC222" s="514"/>
      <c r="AD222" s="514"/>
      <c r="AE222" s="514"/>
      <c r="AF222" s="514"/>
      <c r="AG222" s="514"/>
      <c r="AH222" s="514"/>
      <c r="AI222" s="1010"/>
      <c r="AJ222" s="1010"/>
      <c r="AK222" s="1010"/>
      <c r="AL222" s="15"/>
    </row>
    <row r="223" spans="2:38">
      <c r="B223" s="542">
        <v>154</v>
      </c>
      <c r="C223" s="828"/>
      <c r="D223" s="829"/>
      <c r="F223" s="1008">
        <f t="shared" si="4"/>
        <v>0</v>
      </c>
      <c r="G223" s="514"/>
      <c r="H223" s="514"/>
      <c r="I223" s="514"/>
      <c r="J223" s="514"/>
      <c r="K223" s="514"/>
      <c r="L223" s="514"/>
      <c r="M223" s="514"/>
      <c r="N223" s="514"/>
      <c r="O223" s="514"/>
      <c r="P223" s="514"/>
      <c r="Q223" s="514"/>
      <c r="S223" s="15"/>
      <c r="U223" s="542">
        <v>154</v>
      </c>
      <c r="V223" s="828"/>
      <c r="W223" s="829"/>
      <c r="Y223" s="1009">
        <f t="shared" si="5"/>
        <v>0</v>
      </c>
      <c r="Z223" s="514"/>
      <c r="AA223" s="514"/>
      <c r="AB223" s="514"/>
      <c r="AC223" s="514"/>
      <c r="AD223" s="514"/>
      <c r="AE223" s="514"/>
      <c r="AF223" s="514"/>
      <c r="AG223" s="514"/>
      <c r="AH223" s="514"/>
      <c r="AI223" s="1010"/>
      <c r="AJ223" s="1010"/>
      <c r="AK223" s="1010"/>
      <c r="AL223" s="15"/>
    </row>
    <row r="224" spans="2:38">
      <c r="B224" s="542">
        <v>155</v>
      </c>
      <c r="C224" s="828"/>
      <c r="D224" s="829"/>
      <c r="F224" s="1008">
        <f t="shared" si="4"/>
        <v>0</v>
      </c>
      <c r="G224" s="514"/>
      <c r="H224" s="514"/>
      <c r="I224" s="514"/>
      <c r="J224" s="514"/>
      <c r="K224" s="514"/>
      <c r="L224" s="514"/>
      <c r="M224" s="514"/>
      <c r="N224" s="514"/>
      <c r="O224" s="514"/>
      <c r="P224" s="514"/>
      <c r="Q224" s="514"/>
      <c r="S224" s="15"/>
      <c r="U224" s="542">
        <v>155</v>
      </c>
      <c r="V224" s="828"/>
      <c r="W224" s="829"/>
      <c r="Y224" s="1009">
        <f t="shared" si="5"/>
        <v>0</v>
      </c>
      <c r="Z224" s="514"/>
      <c r="AA224" s="514"/>
      <c r="AB224" s="514"/>
      <c r="AC224" s="514"/>
      <c r="AD224" s="514"/>
      <c r="AE224" s="514"/>
      <c r="AF224" s="514"/>
      <c r="AG224" s="514"/>
      <c r="AH224" s="514"/>
      <c r="AI224" s="1010"/>
      <c r="AJ224" s="1010"/>
      <c r="AK224" s="1010"/>
      <c r="AL224" s="15"/>
    </row>
    <row r="225" spans="2:38">
      <c r="B225" s="542">
        <v>156</v>
      </c>
      <c r="C225" s="828"/>
      <c r="D225" s="829"/>
      <c r="F225" s="1008">
        <f t="shared" si="4"/>
        <v>0</v>
      </c>
      <c r="G225" s="514"/>
      <c r="H225" s="514"/>
      <c r="I225" s="514"/>
      <c r="J225" s="514"/>
      <c r="K225" s="514"/>
      <c r="L225" s="514"/>
      <c r="M225" s="514"/>
      <c r="N225" s="514"/>
      <c r="O225" s="514"/>
      <c r="P225" s="514"/>
      <c r="Q225" s="514"/>
      <c r="S225" s="15"/>
      <c r="U225" s="542">
        <v>156</v>
      </c>
      <c r="V225" s="828"/>
      <c r="W225" s="829"/>
      <c r="Y225" s="1009">
        <f t="shared" si="5"/>
        <v>0</v>
      </c>
      <c r="Z225" s="514"/>
      <c r="AA225" s="514"/>
      <c r="AB225" s="514"/>
      <c r="AC225" s="514"/>
      <c r="AD225" s="514"/>
      <c r="AE225" s="514"/>
      <c r="AF225" s="514"/>
      <c r="AG225" s="514"/>
      <c r="AH225" s="514"/>
      <c r="AI225" s="1010"/>
      <c r="AJ225" s="1010"/>
      <c r="AK225" s="1010"/>
      <c r="AL225" s="15"/>
    </row>
    <row r="226" spans="2:38">
      <c r="B226" s="542">
        <v>157</v>
      </c>
      <c r="C226" s="828"/>
      <c r="D226" s="829"/>
      <c r="F226" s="1008">
        <f t="shared" si="4"/>
        <v>0</v>
      </c>
      <c r="G226" s="514"/>
      <c r="H226" s="514"/>
      <c r="I226" s="514"/>
      <c r="J226" s="514"/>
      <c r="K226" s="514"/>
      <c r="L226" s="514"/>
      <c r="M226" s="514"/>
      <c r="N226" s="514"/>
      <c r="O226" s="514"/>
      <c r="P226" s="514"/>
      <c r="Q226" s="514"/>
      <c r="S226" s="15"/>
      <c r="U226" s="542">
        <v>157</v>
      </c>
      <c r="V226" s="828"/>
      <c r="W226" s="829"/>
      <c r="Y226" s="1009">
        <f t="shared" si="5"/>
        <v>0</v>
      </c>
      <c r="Z226" s="514"/>
      <c r="AA226" s="514"/>
      <c r="AB226" s="514"/>
      <c r="AC226" s="514"/>
      <c r="AD226" s="514"/>
      <c r="AE226" s="514"/>
      <c r="AF226" s="514"/>
      <c r="AG226" s="514"/>
      <c r="AH226" s="514"/>
      <c r="AI226" s="1010"/>
      <c r="AJ226" s="1010"/>
      <c r="AK226" s="1010"/>
      <c r="AL226" s="15"/>
    </row>
    <row r="227" spans="2:38">
      <c r="B227" s="542">
        <v>158</v>
      </c>
      <c r="C227" s="828"/>
      <c r="D227" s="829"/>
      <c r="F227" s="1008">
        <f t="shared" si="4"/>
        <v>0</v>
      </c>
      <c r="G227" s="514"/>
      <c r="H227" s="514"/>
      <c r="I227" s="514"/>
      <c r="J227" s="514"/>
      <c r="K227" s="514"/>
      <c r="L227" s="514"/>
      <c r="M227" s="514"/>
      <c r="N227" s="514"/>
      <c r="O227" s="514"/>
      <c r="P227" s="514"/>
      <c r="Q227" s="514"/>
      <c r="S227" s="15"/>
      <c r="U227" s="542">
        <v>158</v>
      </c>
      <c r="V227" s="828"/>
      <c r="W227" s="829"/>
      <c r="Y227" s="1009">
        <f t="shared" si="5"/>
        <v>0</v>
      </c>
      <c r="Z227" s="514"/>
      <c r="AA227" s="514"/>
      <c r="AB227" s="514"/>
      <c r="AC227" s="514"/>
      <c r="AD227" s="514"/>
      <c r="AE227" s="514"/>
      <c r="AF227" s="514"/>
      <c r="AG227" s="514"/>
      <c r="AH227" s="514"/>
      <c r="AI227" s="1010"/>
      <c r="AJ227" s="1010"/>
      <c r="AK227" s="1010"/>
      <c r="AL227" s="15"/>
    </row>
    <row r="228" spans="2:38">
      <c r="B228" s="542">
        <v>159</v>
      </c>
      <c r="C228" s="828"/>
      <c r="D228" s="829"/>
      <c r="F228" s="1008">
        <f t="shared" si="4"/>
        <v>0</v>
      </c>
      <c r="G228" s="514"/>
      <c r="H228" s="514"/>
      <c r="I228" s="514"/>
      <c r="J228" s="514"/>
      <c r="K228" s="514"/>
      <c r="L228" s="514"/>
      <c r="M228" s="514"/>
      <c r="N228" s="514"/>
      <c r="O228" s="514"/>
      <c r="P228" s="514"/>
      <c r="Q228" s="514"/>
      <c r="S228" s="15"/>
      <c r="U228" s="542">
        <v>159</v>
      </c>
      <c r="V228" s="828"/>
      <c r="W228" s="829"/>
      <c r="Y228" s="1009">
        <f t="shared" si="5"/>
        <v>0</v>
      </c>
      <c r="Z228" s="514"/>
      <c r="AA228" s="514"/>
      <c r="AB228" s="514"/>
      <c r="AC228" s="514"/>
      <c r="AD228" s="514"/>
      <c r="AE228" s="514"/>
      <c r="AF228" s="514"/>
      <c r="AG228" s="514"/>
      <c r="AH228" s="514"/>
      <c r="AI228" s="1010"/>
      <c r="AJ228" s="1010"/>
      <c r="AK228" s="1010"/>
      <c r="AL228" s="15"/>
    </row>
    <row r="229" spans="2:38">
      <c r="B229" s="542">
        <v>160</v>
      </c>
      <c r="C229" s="828"/>
      <c r="D229" s="829"/>
      <c r="F229" s="1008">
        <f t="shared" si="4"/>
        <v>0</v>
      </c>
      <c r="G229" s="514"/>
      <c r="H229" s="514"/>
      <c r="I229" s="514"/>
      <c r="J229" s="514"/>
      <c r="K229" s="514"/>
      <c r="L229" s="514"/>
      <c r="M229" s="514"/>
      <c r="N229" s="514"/>
      <c r="O229" s="514"/>
      <c r="P229" s="514"/>
      <c r="Q229" s="514"/>
      <c r="S229" s="15"/>
      <c r="U229" s="542">
        <v>160</v>
      </c>
      <c r="V229" s="828"/>
      <c r="W229" s="829"/>
      <c r="Y229" s="1009">
        <f t="shared" si="5"/>
        <v>0</v>
      </c>
      <c r="Z229" s="514"/>
      <c r="AA229" s="514"/>
      <c r="AB229" s="514"/>
      <c r="AC229" s="514"/>
      <c r="AD229" s="514"/>
      <c r="AE229" s="514"/>
      <c r="AF229" s="514"/>
      <c r="AG229" s="514"/>
      <c r="AH229" s="514"/>
      <c r="AI229" s="1010"/>
      <c r="AJ229" s="1010"/>
      <c r="AK229" s="1010"/>
      <c r="AL229" s="15"/>
    </row>
    <row r="230" spans="2:38">
      <c r="B230" s="542">
        <v>161</v>
      </c>
      <c r="C230" s="828"/>
      <c r="D230" s="829"/>
      <c r="F230" s="1008">
        <f t="shared" si="4"/>
        <v>0</v>
      </c>
      <c r="G230" s="514"/>
      <c r="H230" s="514"/>
      <c r="I230" s="514"/>
      <c r="J230" s="514"/>
      <c r="K230" s="514"/>
      <c r="L230" s="514"/>
      <c r="M230" s="514"/>
      <c r="N230" s="514"/>
      <c r="O230" s="514"/>
      <c r="P230" s="514"/>
      <c r="Q230" s="514"/>
      <c r="S230" s="15"/>
      <c r="U230" s="542">
        <v>161</v>
      </c>
      <c r="V230" s="828"/>
      <c r="W230" s="829"/>
      <c r="Y230" s="1009">
        <f t="shared" si="5"/>
        <v>0</v>
      </c>
      <c r="Z230" s="514"/>
      <c r="AA230" s="514"/>
      <c r="AB230" s="514"/>
      <c r="AC230" s="514"/>
      <c r="AD230" s="514"/>
      <c r="AE230" s="514"/>
      <c r="AF230" s="514"/>
      <c r="AG230" s="514"/>
      <c r="AH230" s="514"/>
      <c r="AI230" s="1010"/>
      <c r="AJ230" s="1010"/>
      <c r="AK230" s="1010"/>
      <c r="AL230" s="15"/>
    </row>
    <row r="231" spans="2:38">
      <c r="B231" s="542">
        <v>162</v>
      </c>
      <c r="C231" s="828"/>
      <c r="D231" s="829"/>
      <c r="F231" s="1008">
        <f t="shared" si="4"/>
        <v>0</v>
      </c>
      <c r="G231" s="514"/>
      <c r="H231" s="514"/>
      <c r="I231" s="514"/>
      <c r="J231" s="514"/>
      <c r="K231" s="514"/>
      <c r="L231" s="514"/>
      <c r="M231" s="514"/>
      <c r="N231" s="514"/>
      <c r="O231" s="514"/>
      <c r="P231" s="514"/>
      <c r="Q231" s="514"/>
      <c r="S231" s="15"/>
      <c r="U231" s="542">
        <v>162</v>
      </c>
      <c r="V231" s="828"/>
      <c r="W231" s="829"/>
      <c r="Y231" s="1009">
        <f t="shared" si="5"/>
        <v>0</v>
      </c>
      <c r="Z231" s="514"/>
      <c r="AA231" s="514"/>
      <c r="AB231" s="514"/>
      <c r="AC231" s="514"/>
      <c r="AD231" s="514"/>
      <c r="AE231" s="514"/>
      <c r="AF231" s="514"/>
      <c r="AG231" s="514"/>
      <c r="AH231" s="514"/>
      <c r="AI231" s="1010"/>
      <c r="AJ231" s="1010"/>
      <c r="AK231" s="1010"/>
      <c r="AL231" s="15"/>
    </row>
    <row r="232" spans="2:38">
      <c r="B232" s="542">
        <v>163</v>
      </c>
      <c r="C232" s="828"/>
      <c r="D232" s="829"/>
      <c r="F232" s="1008">
        <f t="shared" si="4"/>
        <v>0</v>
      </c>
      <c r="G232" s="514"/>
      <c r="H232" s="514"/>
      <c r="I232" s="514"/>
      <c r="J232" s="514"/>
      <c r="K232" s="514"/>
      <c r="L232" s="514"/>
      <c r="M232" s="514"/>
      <c r="N232" s="514"/>
      <c r="O232" s="514"/>
      <c r="P232" s="514"/>
      <c r="Q232" s="514"/>
      <c r="S232" s="15"/>
      <c r="U232" s="542">
        <v>163</v>
      </c>
      <c r="V232" s="828"/>
      <c r="W232" s="829"/>
      <c r="Y232" s="1009">
        <f t="shared" si="5"/>
        <v>0</v>
      </c>
      <c r="Z232" s="514"/>
      <c r="AA232" s="514"/>
      <c r="AB232" s="514"/>
      <c r="AC232" s="514"/>
      <c r="AD232" s="514"/>
      <c r="AE232" s="514"/>
      <c r="AF232" s="514"/>
      <c r="AG232" s="514"/>
      <c r="AH232" s="514"/>
      <c r="AI232" s="1010"/>
      <c r="AJ232" s="1010"/>
      <c r="AK232" s="1010"/>
      <c r="AL232" s="15"/>
    </row>
    <row r="233" spans="2:38">
      <c r="B233" s="542">
        <v>164</v>
      </c>
      <c r="C233" s="828"/>
      <c r="D233" s="829"/>
      <c r="F233" s="1008">
        <f t="shared" si="4"/>
        <v>0</v>
      </c>
      <c r="G233" s="514"/>
      <c r="H233" s="514"/>
      <c r="I233" s="514"/>
      <c r="J233" s="514"/>
      <c r="K233" s="514"/>
      <c r="L233" s="514"/>
      <c r="M233" s="514"/>
      <c r="N233" s="514"/>
      <c r="O233" s="514"/>
      <c r="P233" s="514"/>
      <c r="Q233" s="514"/>
      <c r="S233" s="15"/>
      <c r="U233" s="542">
        <v>164</v>
      </c>
      <c r="V233" s="828"/>
      <c r="W233" s="829"/>
      <c r="Y233" s="1009">
        <f t="shared" si="5"/>
        <v>0</v>
      </c>
      <c r="Z233" s="514"/>
      <c r="AA233" s="514"/>
      <c r="AB233" s="514"/>
      <c r="AC233" s="514"/>
      <c r="AD233" s="514"/>
      <c r="AE233" s="514"/>
      <c r="AF233" s="514"/>
      <c r="AG233" s="514"/>
      <c r="AH233" s="514"/>
      <c r="AI233" s="1010"/>
      <c r="AJ233" s="1010"/>
      <c r="AK233" s="1010"/>
      <c r="AL233" s="15"/>
    </row>
    <row r="234" spans="2:38">
      <c r="B234" s="542">
        <v>165</v>
      </c>
      <c r="C234" s="828"/>
      <c r="D234" s="829"/>
      <c r="F234" s="1008">
        <f t="shared" si="4"/>
        <v>0</v>
      </c>
      <c r="G234" s="514"/>
      <c r="H234" s="514"/>
      <c r="I234" s="514"/>
      <c r="J234" s="514"/>
      <c r="K234" s="514"/>
      <c r="L234" s="514"/>
      <c r="M234" s="514"/>
      <c r="N234" s="514"/>
      <c r="O234" s="514"/>
      <c r="P234" s="514"/>
      <c r="Q234" s="514"/>
      <c r="S234" s="15"/>
      <c r="U234" s="542">
        <v>165</v>
      </c>
      <c r="V234" s="828"/>
      <c r="W234" s="829"/>
      <c r="Y234" s="1009">
        <f t="shared" si="5"/>
        <v>0</v>
      </c>
      <c r="Z234" s="514"/>
      <c r="AA234" s="514"/>
      <c r="AB234" s="514"/>
      <c r="AC234" s="514"/>
      <c r="AD234" s="514"/>
      <c r="AE234" s="514"/>
      <c r="AF234" s="514"/>
      <c r="AG234" s="514"/>
      <c r="AH234" s="514"/>
      <c r="AI234" s="1010"/>
      <c r="AJ234" s="1010"/>
      <c r="AK234" s="1010"/>
      <c r="AL234" s="15"/>
    </row>
    <row r="235" spans="2:38">
      <c r="B235" s="542">
        <v>166</v>
      </c>
      <c r="C235" s="828"/>
      <c r="D235" s="829"/>
      <c r="F235" s="1008">
        <f t="shared" si="4"/>
        <v>0</v>
      </c>
      <c r="G235" s="514"/>
      <c r="H235" s="514"/>
      <c r="I235" s="514"/>
      <c r="J235" s="514"/>
      <c r="K235" s="514"/>
      <c r="L235" s="514"/>
      <c r="M235" s="514"/>
      <c r="N235" s="514"/>
      <c r="O235" s="514"/>
      <c r="P235" s="514"/>
      <c r="Q235" s="514"/>
      <c r="S235" s="15"/>
      <c r="U235" s="542">
        <v>166</v>
      </c>
      <c r="V235" s="828"/>
      <c r="W235" s="829"/>
      <c r="Y235" s="1009">
        <f t="shared" si="5"/>
        <v>0</v>
      </c>
      <c r="Z235" s="514"/>
      <c r="AA235" s="514"/>
      <c r="AB235" s="514"/>
      <c r="AC235" s="514"/>
      <c r="AD235" s="514"/>
      <c r="AE235" s="514"/>
      <c r="AF235" s="514"/>
      <c r="AG235" s="514"/>
      <c r="AH235" s="514"/>
      <c r="AI235" s="1010"/>
      <c r="AJ235" s="1010"/>
      <c r="AK235" s="1010"/>
      <c r="AL235" s="15"/>
    </row>
    <row r="236" spans="2:38">
      <c r="B236" s="542">
        <v>167</v>
      </c>
      <c r="C236" s="828"/>
      <c r="D236" s="829"/>
      <c r="F236" s="1008">
        <f t="shared" si="4"/>
        <v>0</v>
      </c>
      <c r="G236" s="514"/>
      <c r="H236" s="514"/>
      <c r="I236" s="514"/>
      <c r="J236" s="514"/>
      <c r="K236" s="514"/>
      <c r="L236" s="514"/>
      <c r="M236" s="514"/>
      <c r="N236" s="514"/>
      <c r="O236" s="514"/>
      <c r="P236" s="514"/>
      <c r="Q236" s="514"/>
      <c r="S236" s="15"/>
      <c r="U236" s="542">
        <v>167</v>
      </c>
      <c r="V236" s="828"/>
      <c r="W236" s="829"/>
      <c r="Y236" s="1009">
        <f t="shared" si="5"/>
        <v>0</v>
      </c>
      <c r="Z236" s="514"/>
      <c r="AA236" s="514"/>
      <c r="AB236" s="514"/>
      <c r="AC236" s="514"/>
      <c r="AD236" s="514"/>
      <c r="AE236" s="514"/>
      <c r="AF236" s="514"/>
      <c r="AG236" s="514"/>
      <c r="AH236" s="514"/>
      <c r="AI236" s="1010"/>
      <c r="AJ236" s="1010"/>
      <c r="AK236" s="1010"/>
      <c r="AL236" s="15"/>
    </row>
    <row r="237" spans="2:38">
      <c r="B237" s="542">
        <v>168</v>
      </c>
      <c r="C237" s="828"/>
      <c r="D237" s="829"/>
      <c r="F237" s="1008">
        <f t="shared" si="4"/>
        <v>0</v>
      </c>
      <c r="G237" s="514"/>
      <c r="H237" s="514"/>
      <c r="I237" s="514"/>
      <c r="J237" s="514"/>
      <c r="K237" s="514"/>
      <c r="L237" s="514"/>
      <c r="M237" s="514"/>
      <c r="N237" s="514"/>
      <c r="O237" s="514"/>
      <c r="P237" s="514"/>
      <c r="Q237" s="514"/>
      <c r="S237" s="15"/>
      <c r="U237" s="542">
        <v>168</v>
      </c>
      <c r="V237" s="828"/>
      <c r="W237" s="829"/>
      <c r="Y237" s="1009">
        <f t="shared" si="5"/>
        <v>0</v>
      </c>
      <c r="Z237" s="514"/>
      <c r="AA237" s="514"/>
      <c r="AB237" s="514"/>
      <c r="AC237" s="514"/>
      <c r="AD237" s="514"/>
      <c r="AE237" s="514"/>
      <c r="AF237" s="514"/>
      <c r="AG237" s="514"/>
      <c r="AH237" s="514"/>
      <c r="AI237" s="1010"/>
      <c r="AJ237" s="1010"/>
      <c r="AK237" s="1010"/>
      <c r="AL237" s="15"/>
    </row>
    <row r="238" spans="2:38">
      <c r="B238" s="542">
        <v>169</v>
      </c>
      <c r="C238" s="828"/>
      <c r="D238" s="829"/>
      <c r="F238" s="1008">
        <f t="shared" si="4"/>
        <v>0</v>
      </c>
      <c r="G238" s="514"/>
      <c r="H238" s="514"/>
      <c r="I238" s="514"/>
      <c r="J238" s="514"/>
      <c r="K238" s="514"/>
      <c r="L238" s="514"/>
      <c r="M238" s="514"/>
      <c r="N238" s="514"/>
      <c r="O238" s="514"/>
      <c r="P238" s="514"/>
      <c r="Q238" s="514"/>
      <c r="S238" s="15"/>
      <c r="U238" s="542">
        <v>169</v>
      </c>
      <c r="V238" s="828"/>
      <c r="W238" s="829"/>
      <c r="Y238" s="1009">
        <f t="shared" si="5"/>
        <v>0</v>
      </c>
      <c r="Z238" s="514"/>
      <c r="AA238" s="514"/>
      <c r="AB238" s="514"/>
      <c r="AC238" s="514"/>
      <c r="AD238" s="514"/>
      <c r="AE238" s="514"/>
      <c r="AF238" s="514"/>
      <c r="AG238" s="514"/>
      <c r="AH238" s="514"/>
      <c r="AI238" s="1010"/>
      <c r="AJ238" s="1010"/>
      <c r="AK238" s="1010"/>
      <c r="AL238" s="15"/>
    </row>
    <row r="239" spans="2:38">
      <c r="B239" s="542">
        <v>170</v>
      </c>
      <c r="C239" s="828"/>
      <c r="D239" s="829"/>
      <c r="F239" s="1008">
        <f t="shared" si="4"/>
        <v>0</v>
      </c>
      <c r="G239" s="514"/>
      <c r="H239" s="514"/>
      <c r="I239" s="514"/>
      <c r="J239" s="514"/>
      <c r="K239" s="514"/>
      <c r="L239" s="514"/>
      <c r="M239" s="514"/>
      <c r="N239" s="514"/>
      <c r="O239" s="514"/>
      <c r="P239" s="514"/>
      <c r="Q239" s="514"/>
      <c r="S239" s="15"/>
      <c r="U239" s="542">
        <v>170</v>
      </c>
      <c r="V239" s="828"/>
      <c r="W239" s="829"/>
      <c r="Y239" s="1009">
        <f t="shared" si="5"/>
        <v>0</v>
      </c>
      <c r="Z239" s="514"/>
      <c r="AA239" s="514"/>
      <c r="AB239" s="514"/>
      <c r="AC239" s="514"/>
      <c r="AD239" s="514"/>
      <c r="AE239" s="514"/>
      <c r="AF239" s="514"/>
      <c r="AG239" s="514"/>
      <c r="AH239" s="514"/>
      <c r="AI239" s="1010"/>
      <c r="AJ239" s="1010"/>
      <c r="AK239" s="1010"/>
      <c r="AL239" s="15"/>
    </row>
    <row r="240" spans="2:38">
      <c r="B240" s="542">
        <v>171</v>
      </c>
      <c r="C240" s="828"/>
      <c r="D240" s="829"/>
      <c r="F240" s="1008">
        <f t="shared" si="4"/>
        <v>0</v>
      </c>
      <c r="G240" s="514"/>
      <c r="H240" s="514"/>
      <c r="I240" s="514"/>
      <c r="J240" s="514"/>
      <c r="K240" s="514"/>
      <c r="L240" s="514"/>
      <c r="M240" s="514"/>
      <c r="N240" s="514"/>
      <c r="O240" s="514"/>
      <c r="P240" s="514"/>
      <c r="Q240" s="514"/>
      <c r="S240" s="15"/>
      <c r="U240" s="542">
        <v>171</v>
      </c>
      <c r="V240" s="828"/>
      <c r="W240" s="829"/>
      <c r="Y240" s="1009">
        <f t="shared" si="5"/>
        <v>0</v>
      </c>
      <c r="Z240" s="514"/>
      <c r="AA240" s="514"/>
      <c r="AB240" s="514"/>
      <c r="AC240" s="514"/>
      <c r="AD240" s="514"/>
      <c r="AE240" s="514"/>
      <c r="AF240" s="514"/>
      <c r="AG240" s="514"/>
      <c r="AH240" s="514"/>
      <c r="AI240" s="1010"/>
      <c r="AJ240" s="1010"/>
      <c r="AK240" s="1010"/>
      <c r="AL240" s="15"/>
    </row>
    <row r="241" spans="2:38">
      <c r="B241" s="542">
        <v>172</v>
      </c>
      <c r="C241" s="828"/>
      <c r="D241" s="830"/>
      <c r="F241" s="1008">
        <f t="shared" si="4"/>
        <v>0</v>
      </c>
      <c r="G241" s="514"/>
      <c r="H241" s="514"/>
      <c r="I241" s="514"/>
      <c r="J241" s="514"/>
      <c r="K241" s="514"/>
      <c r="L241" s="514"/>
      <c r="M241" s="514"/>
      <c r="N241" s="514"/>
      <c r="O241" s="514"/>
      <c r="P241" s="514"/>
      <c r="Q241" s="514"/>
      <c r="S241" s="15"/>
      <c r="U241" s="542">
        <v>172</v>
      </c>
      <c r="V241" s="828"/>
      <c r="W241" s="830"/>
      <c r="Y241" s="1009">
        <f t="shared" si="5"/>
        <v>0</v>
      </c>
      <c r="Z241" s="514"/>
      <c r="AA241" s="514"/>
      <c r="AB241" s="514"/>
      <c r="AC241" s="514"/>
      <c r="AD241" s="514"/>
      <c r="AE241" s="514"/>
      <c r="AF241" s="514"/>
      <c r="AG241" s="514"/>
      <c r="AH241" s="514"/>
      <c r="AI241" s="1010"/>
      <c r="AJ241" s="1010"/>
      <c r="AK241" s="1010"/>
      <c r="AL241" s="15"/>
    </row>
    <row r="242" spans="2:38">
      <c r="B242" s="542">
        <v>173</v>
      </c>
      <c r="C242" s="831"/>
      <c r="D242" s="830"/>
      <c r="F242" s="1008">
        <f t="shared" si="4"/>
        <v>0</v>
      </c>
      <c r="G242" s="514"/>
      <c r="H242" s="514"/>
      <c r="I242" s="514"/>
      <c r="J242" s="514"/>
      <c r="K242" s="514"/>
      <c r="L242" s="514"/>
      <c r="M242" s="514"/>
      <c r="N242" s="514"/>
      <c r="O242" s="514"/>
      <c r="P242" s="514"/>
      <c r="Q242" s="514"/>
      <c r="S242" s="15"/>
      <c r="U242" s="542">
        <v>173</v>
      </c>
      <c r="V242" s="831"/>
      <c r="W242" s="830"/>
      <c r="Y242" s="1009">
        <f t="shared" si="5"/>
        <v>0</v>
      </c>
      <c r="Z242" s="514"/>
      <c r="AA242" s="514"/>
      <c r="AB242" s="514"/>
      <c r="AC242" s="514"/>
      <c r="AD242" s="514"/>
      <c r="AE242" s="514"/>
      <c r="AF242" s="514"/>
      <c r="AG242" s="514"/>
      <c r="AH242" s="514"/>
      <c r="AI242" s="1010"/>
      <c r="AJ242" s="1010"/>
      <c r="AK242" s="1010"/>
      <c r="AL242" s="15"/>
    </row>
    <row r="243" spans="2:38">
      <c r="B243" s="542">
        <v>174</v>
      </c>
      <c r="C243" s="831"/>
      <c r="D243" s="830"/>
      <c r="F243" s="1008">
        <f t="shared" si="4"/>
        <v>0</v>
      </c>
      <c r="G243" s="514"/>
      <c r="H243" s="514"/>
      <c r="I243" s="514"/>
      <c r="J243" s="514"/>
      <c r="K243" s="514"/>
      <c r="L243" s="514"/>
      <c r="M243" s="514"/>
      <c r="N243" s="514"/>
      <c r="O243" s="514"/>
      <c r="P243" s="514"/>
      <c r="Q243" s="514"/>
      <c r="S243" s="15"/>
      <c r="U243" s="542">
        <v>174</v>
      </c>
      <c r="V243" s="831"/>
      <c r="W243" s="830"/>
      <c r="Y243" s="1009">
        <f t="shared" si="5"/>
        <v>0</v>
      </c>
      <c r="Z243" s="514"/>
      <c r="AA243" s="514"/>
      <c r="AB243" s="514"/>
      <c r="AC243" s="514"/>
      <c r="AD243" s="514"/>
      <c r="AE243" s="514"/>
      <c r="AF243" s="514"/>
      <c r="AG243" s="514"/>
      <c r="AH243" s="514"/>
      <c r="AI243" s="1010"/>
      <c r="AJ243" s="1010"/>
      <c r="AK243" s="1010"/>
      <c r="AL243" s="15"/>
    </row>
    <row r="244" spans="2:38">
      <c r="B244" s="542">
        <v>175</v>
      </c>
      <c r="C244" s="831"/>
      <c r="D244" s="830"/>
      <c r="F244" s="1008">
        <f t="shared" si="4"/>
        <v>0</v>
      </c>
      <c r="G244" s="514"/>
      <c r="H244" s="514"/>
      <c r="I244" s="514"/>
      <c r="J244" s="514"/>
      <c r="K244" s="514"/>
      <c r="L244" s="514"/>
      <c r="M244" s="514"/>
      <c r="N244" s="514"/>
      <c r="O244" s="514"/>
      <c r="P244" s="514"/>
      <c r="Q244" s="514"/>
      <c r="S244" s="15"/>
      <c r="U244" s="542">
        <v>175</v>
      </c>
      <c r="V244" s="831"/>
      <c r="W244" s="830"/>
      <c r="Y244" s="1009">
        <f t="shared" si="5"/>
        <v>0</v>
      </c>
      <c r="Z244" s="514"/>
      <c r="AA244" s="514"/>
      <c r="AB244" s="514"/>
      <c r="AC244" s="514"/>
      <c r="AD244" s="514"/>
      <c r="AE244" s="514"/>
      <c r="AF244" s="514"/>
      <c r="AG244" s="514"/>
      <c r="AH244" s="514"/>
      <c r="AI244" s="1010"/>
      <c r="AJ244" s="1010"/>
      <c r="AK244" s="1010"/>
      <c r="AL244" s="15"/>
    </row>
    <row r="245" spans="2:38">
      <c r="B245" s="542">
        <v>176</v>
      </c>
      <c r="C245" s="831"/>
      <c r="D245" s="830"/>
      <c r="F245" s="1008">
        <f t="shared" si="4"/>
        <v>0</v>
      </c>
      <c r="G245" s="514"/>
      <c r="H245" s="514"/>
      <c r="I245" s="514"/>
      <c r="J245" s="514"/>
      <c r="K245" s="514"/>
      <c r="L245" s="514"/>
      <c r="M245" s="514"/>
      <c r="N245" s="514"/>
      <c r="O245" s="514"/>
      <c r="P245" s="514"/>
      <c r="Q245" s="514"/>
      <c r="S245" s="15"/>
      <c r="U245" s="542">
        <v>176</v>
      </c>
      <c r="V245" s="831"/>
      <c r="W245" s="830"/>
      <c r="Y245" s="1009">
        <f t="shared" si="5"/>
        <v>0</v>
      </c>
      <c r="Z245" s="514"/>
      <c r="AA245" s="514"/>
      <c r="AB245" s="514"/>
      <c r="AC245" s="514"/>
      <c r="AD245" s="514"/>
      <c r="AE245" s="514"/>
      <c r="AF245" s="514"/>
      <c r="AG245" s="514"/>
      <c r="AH245" s="514"/>
      <c r="AI245" s="1010"/>
      <c r="AJ245" s="1010"/>
      <c r="AK245" s="1010"/>
      <c r="AL245" s="15"/>
    </row>
    <row r="246" spans="2:38">
      <c r="B246" s="542">
        <v>177</v>
      </c>
      <c r="C246" s="831"/>
      <c r="D246" s="830"/>
      <c r="F246" s="1008">
        <f t="shared" si="4"/>
        <v>0</v>
      </c>
      <c r="G246" s="514"/>
      <c r="H246" s="514"/>
      <c r="I246" s="514"/>
      <c r="J246" s="514"/>
      <c r="K246" s="514"/>
      <c r="L246" s="514"/>
      <c r="M246" s="514"/>
      <c r="N246" s="514"/>
      <c r="O246" s="514"/>
      <c r="P246" s="514"/>
      <c r="Q246" s="514"/>
      <c r="S246" s="15"/>
      <c r="U246" s="542">
        <v>177</v>
      </c>
      <c r="V246" s="831"/>
      <c r="W246" s="830"/>
      <c r="Y246" s="1009">
        <f t="shared" si="5"/>
        <v>0</v>
      </c>
      <c r="Z246" s="514"/>
      <c r="AA246" s="514"/>
      <c r="AB246" s="514"/>
      <c r="AC246" s="514"/>
      <c r="AD246" s="514"/>
      <c r="AE246" s="514"/>
      <c r="AF246" s="514"/>
      <c r="AG246" s="514"/>
      <c r="AH246" s="514"/>
      <c r="AI246" s="1010"/>
      <c r="AJ246" s="1010"/>
      <c r="AK246" s="1010"/>
      <c r="AL246" s="15"/>
    </row>
    <row r="247" spans="2:38">
      <c r="B247" s="542">
        <v>178</v>
      </c>
      <c r="C247" s="831"/>
      <c r="D247" s="830"/>
      <c r="F247" s="1008">
        <f t="shared" si="4"/>
        <v>0</v>
      </c>
      <c r="G247" s="514"/>
      <c r="H247" s="514"/>
      <c r="I247" s="514"/>
      <c r="J247" s="514"/>
      <c r="K247" s="514"/>
      <c r="L247" s="514"/>
      <c r="M247" s="514"/>
      <c r="N247" s="514"/>
      <c r="O247" s="514"/>
      <c r="P247" s="514"/>
      <c r="Q247" s="514"/>
      <c r="S247" s="15"/>
      <c r="U247" s="542">
        <v>178</v>
      </c>
      <c r="V247" s="831"/>
      <c r="W247" s="830"/>
      <c r="Y247" s="1009">
        <f t="shared" si="5"/>
        <v>0</v>
      </c>
      <c r="Z247" s="514"/>
      <c r="AA247" s="514"/>
      <c r="AB247" s="514"/>
      <c r="AC247" s="514"/>
      <c r="AD247" s="514"/>
      <c r="AE247" s="514"/>
      <c r="AF247" s="514"/>
      <c r="AG247" s="514"/>
      <c r="AH247" s="514"/>
      <c r="AI247" s="1010"/>
      <c r="AJ247" s="1010"/>
      <c r="AK247" s="1010"/>
      <c r="AL247" s="15"/>
    </row>
    <row r="248" spans="2:38">
      <c r="B248" s="542">
        <v>179</v>
      </c>
      <c r="C248" s="831"/>
      <c r="D248" s="830"/>
      <c r="F248" s="1008">
        <f t="shared" si="4"/>
        <v>0</v>
      </c>
      <c r="G248" s="514"/>
      <c r="H248" s="514"/>
      <c r="I248" s="514"/>
      <c r="J248" s="514"/>
      <c r="K248" s="514"/>
      <c r="L248" s="514"/>
      <c r="M248" s="514"/>
      <c r="N248" s="514"/>
      <c r="O248" s="514"/>
      <c r="P248" s="514"/>
      <c r="Q248" s="514"/>
      <c r="S248" s="15"/>
      <c r="U248" s="542">
        <v>179</v>
      </c>
      <c r="V248" s="831"/>
      <c r="W248" s="830"/>
      <c r="Y248" s="1009">
        <f t="shared" si="5"/>
        <v>0</v>
      </c>
      <c r="Z248" s="514"/>
      <c r="AA248" s="514"/>
      <c r="AB248" s="514"/>
      <c r="AC248" s="514"/>
      <c r="AD248" s="514"/>
      <c r="AE248" s="514"/>
      <c r="AF248" s="514"/>
      <c r="AG248" s="514"/>
      <c r="AH248" s="514"/>
      <c r="AI248" s="1010"/>
      <c r="AJ248" s="1010"/>
      <c r="AK248" s="1010"/>
      <c r="AL248" s="15"/>
    </row>
    <row r="249" spans="2:38">
      <c r="B249" s="542">
        <v>180</v>
      </c>
      <c r="C249" s="831"/>
      <c r="D249" s="830"/>
      <c r="F249" s="1008">
        <f t="shared" si="4"/>
        <v>0</v>
      </c>
      <c r="G249" s="514"/>
      <c r="H249" s="514"/>
      <c r="I249" s="514"/>
      <c r="J249" s="514"/>
      <c r="K249" s="514"/>
      <c r="L249" s="514"/>
      <c r="M249" s="514"/>
      <c r="N249" s="514"/>
      <c r="O249" s="514"/>
      <c r="P249" s="514"/>
      <c r="Q249" s="514"/>
      <c r="S249" s="15"/>
      <c r="U249" s="542">
        <v>180</v>
      </c>
      <c r="V249" s="831"/>
      <c r="W249" s="830"/>
      <c r="Y249" s="1009">
        <f t="shared" si="5"/>
        <v>0</v>
      </c>
      <c r="Z249" s="514"/>
      <c r="AA249" s="514"/>
      <c r="AB249" s="514"/>
      <c r="AC249" s="514"/>
      <c r="AD249" s="514"/>
      <c r="AE249" s="514"/>
      <c r="AF249" s="514"/>
      <c r="AG249" s="514"/>
      <c r="AH249" s="514"/>
      <c r="AI249" s="1010"/>
      <c r="AJ249" s="1010"/>
      <c r="AK249" s="1010"/>
      <c r="AL249" s="15"/>
    </row>
    <row r="250" spans="2:38">
      <c r="B250" s="542">
        <v>181</v>
      </c>
      <c r="C250" s="831"/>
      <c r="D250" s="830"/>
      <c r="F250" s="1008">
        <f t="shared" si="4"/>
        <v>0</v>
      </c>
      <c r="G250" s="514"/>
      <c r="H250" s="514"/>
      <c r="I250" s="514"/>
      <c r="J250" s="514"/>
      <c r="K250" s="514"/>
      <c r="L250" s="514"/>
      <c r="M250" s="514"/>
      <c r="N250" s="514"/>
      <c r="O250" s="514"/>
      <c r="P250" s="514"/>
      <c r="Q250" s="514"/>
      <c r="S250" s="15"/>
      <c r="U250" s="542">
        <v>181</v>
      </c>
      <c r="V250" s="831"/>
      <c r="W250" s="830"/>
      <c r="Y250" s="1009">
        <f t="shared" si="5"/>
        <v>0</v>
      </c>
      <c r="Z250" s="514"/>
      <c r="AA250" s="514"/>
      <c r="AB250" s="514"/>
      <c r="AC250" s="514"/>
      <c r="AD250" s="514"/>
      <c r="AE250" s="514"/>
      <c r="AF250" s="514"/>
      <c r="AG250" s="514"/>
      <c r="AH250" s="514"/>
      <c r="AI250" s="1010"/>
      <c r="AJ250" s="1010"/>
      <c r="AK250" s="1010"/>
      <c r="AL250" s="15"/>
    </row>
    <row r="251" spans="2:38">
      <c r="B251" s="542">
        <v>182</v>
      </c>
      <c r="C251" s="831"/>
      <c r="D251" s="830"/>
      <c r="F251" s="1008">
        <f t="shared" si="4"/>
        <v>0</v>
      </c>
      <c r="G251" s="514"/>
      <c r="H251" s="514"/>
      <c r="I251" s="514"/>
      <c r="J251" s="514"/>
      <c r="K251" s="514"/>
      <c r="L251" s="514"/>
      <c r="M251" s="514"/>
      <c r="N251" s="514"/>
      <c r="O251" s="514"/>
      <c r="P251" s="514"/>
      <c r="Q251" s="514"/>
      <c r="S251" s="15"/>
      <c r="U251" s="542">
        <v>182</v>
      </c>
      <c r="V251" s="831"/>
      <c r="W251" s="830"/>
      <c r="Y251" s="1009">
        <f t="shared" si="5"/>
        <v>0</v>
      </c>
      <c r="Z251" s="514"/>
      <c r="AA251" s="514"/>
      <c r="AB251" s="514"/>
      <c r="AC251" s="514"/>
      <c r="AD251" s="514"/>
      <c r="AE251" s="514"/>
      <c r="AF251" s="514"/>
      <c r="AG251" s="514"/>
      <c r="AH251" s="514"/>
      <c r="AI251" s="1010"/>
      <c r="AJ251" s="1010"/>
      <c r="AK251" s="1010"/>
      <c r="AL251" s="15"/>
    </row>
    <row r="252" spans="2:38">
      <c r="B252" s="542">
        <v>183</v>
      </c>
      <c r="C252" s="831"/>
      <c r="D252" s="830"/>
      <c r="F252" s="1008">
        <f t="shared" si="4"/>
        <v>0</v>
      </c>
      <c r="G252" s="514"/>
      <c r="H252" s="514"/>
      <c r="I252" s="514"/>
      <c r="J252" s="514"/>
      <c r="K252" s="514"/>
      <c r="L252" s="514"/>
      <c r="M252" s="514"/>
      <c r="N252" s="514"/>
      <c r="O252" s="514"/>
      <c r="P252" s="514"/>
      <c r="Q252" s="514"/>
      <c r="S252" s="15"/>
      <c r="U252" s="542">
        <v>183</v>
      </c>
      <c r="V252" s="831"/>
      <c r="W252" s="830"/>
      <c r="Y252" s="1009">
        <f t="shared" si="5"/>
        <v>0</v>
      </c>
      <c r="Z252" s="514"/>
      <c r="AA252" s="514"/>
      <c r="AB252" s="514"/>
      <c r="AC252" s="514"/>
      <c r="AD252" s="514"/>
      <c r="AE252" s="514"/>
      <c r="AF252" s="514"/>
      <c r="AG252" s="514"/>
      <c r="AH252" s="514"/>
      <c r="AI252" s="1010"/>
      <c r="AJ252" s="1010"/>
      <c r="AK252" s="1010"/>
      <c r="AL252" s="15"/>
    </row>
    <row r="253" spans="2:38">
      <c r="B253" s="542">
        <v>184</v>
      </c>
      <c r="C253" s="831"/>
      <c r="D253" s="830"/>
      <c r="F253" s="1008">
        <f t="shared" si="4"/>
        <v>0</v>
      </c>
      <c r="G253" s="514"/>
      <c r="H253" s="514"/>
      <c r="I253" s="514"/>
      <c r="J253" s="514"/>
      <c r="K253" s="514"/>
      <c r="L253" s="514"/>
      <c r="M253" s="514"/>
      <c r="N253" s="514"/>
      <c r="O253" s="514"/>
      <c r="P253" s="514"/>
      <c r="Q253" s="514"/>
      <c r="S253" s="15"/>
      <c r="U253" s="542">
        <v>184</v>
      </c>
      <c r="V253" s="831"/>
      <c r="W253" s="830"/>
      <c r="Y253" s="1009">
        <f t="shared" si="5"/>
        <v>0</v>
      </c>
      <c r="Z253" s="514"/>
      <c r="AA253" s="514"/>
      <c r="AB253" s="514"/>
      <c r="AC253" s="514"/>
      <c r="AD253" s="514"/>
      <c r="AE253" s="514"/>
      <c r="AF253" s="514"/>
      <c r="AG253" s="514"/>
      <c r="AH253" s="514"/>
      <c r="AI253" s="1010"/>
      <c r="AJ253" s="1010"/>
      <c r="AK253" s="1010"/>
      <c r="AL253" s="15"/>
    </row>
    <row r="254" spans="2:38">
      <c r="B254" s="542">
        <v>185</v>
      </c>
      <c r="C254" s="831"/>
      <c r="D254" s="830"/>
      <c r="F254" s="1008">
        <f t="shared" si="4"/>
        <v>0</v>
      </c>
      <c r="G254" s="514"/>
      <c r="H254" s="514"/>
      <c r="I254" s="514"/>
      <c r="J254" s="514"/>
      <c r="K254" s="514"/>
      <c r="L254" s="514"/>
      <c r="M254" s="514"/>
      <c r="N254" s="514"/>
      <c r="O254" s="514"/>
      <c r="P254" s="514"/>
      <c r="Q254" s="514"/>
      <c r="S254" s="15"/>
      <c r="U254" s="542">
        <v>185</v>
      </c>
      <c r="V254" s="831"/>
      <c r="W254" s="830"/>
      <c r="Y254" s="1009">
        <f t="shared" si="5"/>
        <v>0</v>
      </c>
      <c r="Z254" s="514"/>
      <c r="AA254" s="514"/>
      <c r="AB254" s="514"/>
      <c r="AC254" s="514"/>
      <c r="AD254" s="514"/>
      <c r="AE254" s="514"/>
      <c r="AF254" s="514"/>
      <c r="AG254" s="514"/>
      <c r="AH254" s="514"/>
      <c r="AI254" s="1010"/>
      <c r="AJ254" s="1010"/>
      <c r="AK254" s="1010"/>
      <c r="AL254" s="15"/>
    </row>
    <row r="255" spans="2:38">
      <c r="B255" s="542">
        <v>186</v>
      </c>
      <c r="C255" s="831"/>
      <c r="D255" s="830"/>
      <c r="F255" s="1008">
        <f t="shared" si="4"/>
        <v>0</v>
      </c>
      <c r="G255" s="514"/>
      <c r="H255" s="514"/>
      <c r="I255" s="514"/>
      <c r="J255" s="514"/>
      <c r="K255" s="514"/>
      <c r="L255" s="514"/>
      <c r="M255" s="514"/>
      <c r="N255" s="514"/>
      <c r="O255" s="514"/>
      <c r="P255" s="514"/>
      <c r="Q255" s="514"/>
      <c r="S255" s="15"/>
      <c r="U255" s="542">
        <v>186</v>
      </c>
      <c r="V255" s="831"/>
      <c r="W255" s="830"/>
      <c r="Y255" s="1009">
        <f t="shared" si="5"/>
        <v>0</v>
      </c>
      <c r="Z255" s="514"/>
      <c r="AA255" s="514"/>
      <c r="AB255" s="514"/>
      <c r="AC255" s="514"/>
      <c r="AD255" s="514"/>
      <c r="AE255" s="514"/>
      <c r="AF255" s="514"/>
      <c r="AG255" s="514"/>
      <c r="AH255" s="514"/>
      <c r="AI255" s="1010"/>
      <c r="AJ255" s="1010"/>
      <c r="AK255" s="1010"/>
      <c r="AL255" s="15"/>
    </row>
    <row r="256" spans="2:38">
      <c r="B256" s="542">
        <v>187</v>
      </c>
      <c r="C256" s="831"/>
      <c r="D256" s="830"/>
      <c r="F256" s="1008">
        <f t="shared" si="4"/>
        <v>0</v>
      </c>
      <c r="G256" s="514"/>
      <c r="H256" s="514"/>
      <c r="I256" s="514"/>
      <c r="J256" s="514"/>
      <c r="K256" s="514"/>
      <c r="L256" s="514"/>
      <c r="M256" s="514"/>
      <c r="N256" s="514"/>
      <c r="O256" s="514"/>
      <c r="P256" s="514"/>
      <c r="Q256" s="514"/>
      <c r="S256" s="15"/>
      <c r="U256" s="542">
        <v>187</v>
      </c>
      <c r="V256" s="831"/>
      <c r="W256" s="830"/>
      <c r="Y256" s="1009">
        <f t="shared" si="5"/>
        <v>0</v>
      </c>
      <c r="Z256" s="514"/>
      <c r="AA256" s="514"/>
      <c r="AB256" s="514"/>
      <c r="AC256" s="514"/>
      <c r="AD256" s="514"/>
      <c r="AE256" s="514"/>
      <c r="AF256" s="514"/>
      <c r="AG256" s="514"/>
      <c r="AH256" s="514"/>
      <c r="AI256" s="1010"/>
      <c r="AJ256" s="1010"/>
      <c r="AK256" s="1010"/>
      <c r="AL256" s="15"/>
    </row>
    <row r="257" spans="2:38">
      <c r="B257" s="542">
        <v>188</v>
      </c>
      <c r="C257" s="831"/>
      <c r="D257" s="830"/>
      <c r="F257" s="1008">
        <f t="shared" si="4"/>
        <v>0</v>
      </c>
      <c r="G257" s="514"/>
      <c r="H257" s="514"/>
      <c r="I257" s="514"/>
      <c r="J257" s="514"/>
      <c r="K257" s="514"/>
      <c r="L257" s="514"/>
      <c r="M257" s="514"/>
      <c r="N257" s="514"/>
      <c r="O257" s="514"/>
      <c r="P257" s="514"/>
      <c r="Q257" s="514"/>
      <c r="S257" s="15"/>
      <c r="U257" s="542">
        <v>188</v>
      </c>
      <c r="V257" s="831"/>
      <c r="W257" s="830"/>
      <c r="Y257" s="1009">
        <f t="shared" si="5"/>
        <v>0</v>
      </c>
      <c r="Z257" s="514"/>
      <c r="AA257" s="514"/>
      <c r="AB257" s="514"/>
      <c r="AC257" s="514"/>
      <c r="AD257" s="514"/>
      <c r="AE257" s="514"/>
      <c r="AF257" s="514"/>
      <c r="AG257" s="514"/>
      <c r="AH257" s="514"/>
      <c r="AI257" s="1010"/>
      <c r="AJ257" s="1010"/>
      <c r="AK257" s="1010"/>
      <c r="AL257" s="15"/>
    </row>
    <row r="258" spans="2:38">
      <c r="B258" s="542">
        <v>189</v>
      </c>
      <c r="C258" s="831"/>
      <c r="D258" s="830"/>
      <c r="F258" s="1008">
        <f t="shared" si="4"/>
        <v>0</v>
      </c>
      <c r="G258" s="514"/>
      <c r="H258" s="514"/>
      <c r="I258" s="514"/>
      <c r="J258" s="514"/>
      <c r="K258" s="514"/>
      <c r="L258" s="514"/>
      <c r="M258" s="514"/>
      <c r="N258" s="514"/>
      <c r="O258" s="514"/>
      <c r="P258" s="514"/>
      <c r="Q258" s="514"/>
      <c r="S258" s="15"/>
      <c r="U258" s="542">
        <v>189</v>
      </c>
      <c r="V258" s="831"/>
      <c r="W258" s="830"/>
      <c r="Y258" s="1009">
        <f t="shared" si="5"/>
        <v>0</v>
      </c>
      <c r="Z258" s="514"/>
      <c r="AA258" s="514"/>
      <c r="AB258" s="514"/>
      <c r="AC258" s="514"/>
      <c r="AD258" s="514"/>
      <c r="AE258" s="514"/>
      <c r="AF258" s="514"/>
      <c r="AG258" s="514"/>
      <c r="AH258" s="514"/>
      <c r="AI258" s="1010"/>
      <c r="AJ258" s="1010"/>
      <c r="AK258" s="1010"/>
      <c r="AL258" s="15"/>
    </row>
    <row r="259" spans="2:38">
      <c r="B259" s="542">
        <v>190</v>
      </c>
      <c r="C259" s="831"/>
      <c r="D259" s="830"/>
      <c r="F259" s="1008">
        <f t="shared" si="4"/>
        <v>0</v>
      </c>
      <c r="G259" s="514"/>
      <c r="H259" s="514"/>
      <c r="I259" s="514"/>
      <c r="J259" s="514"/>
      <c r="K259" s="514"/>
      <c r="L259" s="514"/>
      <c r="M259" s="514"/>
      <c r="N259" s="514"/>
      <c r="O259" s="514"/>
      <c r="P259" s="514"/>
      <c r="Q259" s="514"/>
      <c r="S259" s="15"/>
      <c r="U259" s="542">
        <v>190</v>
      </c>
      <c r="V259" s="831"/>
      <c r="W259" s="830"/>
      <c r="Y259" s="1009">
        <f t="shared" si="5"/>
        <v>0</v>
      </c>
      <c r="Z259" s="514"/>
      <c r="AA259" s="514"/>
      <c r="AB259" s="514"/>
      <c r="AC259" s="514"/>
      <c r="AD259" s="514"/>
      <c r="AE259" s="514"/>
      <c r="AF259" s="514"/>
      <c r="AG259" s="514"/>
      <c r="AH259" s="514"/>
      <c r="AI259" s="1010"/>
      <c r="AJ259" s="1010"/>
      <c r="AK259" s="1010"/>
      <c r="AL259" s="15"/>
    </row>
    <row r="260" spans="2:38">
      <c r="B260" s="542">
        <v>191</v>
      </c>
      <c r="C260" s="831"/>
      <c r="D260" s="830"/>
      <c r="F260" s="1008">
        <f t="shared" si="4"/>
        <v>0</v>
      </c>
      <c r="G260" s="514"/>
      <c r="H260" s="514"/>
      <c r="I260" s="514"/>
      <c r="J260" s="514"/>
      <c r="K260" s="514"/>
      <c r="L260" s="514"/>
      <c r="M260" s="514"/>
      <c r="N260" s="514"/>
      <c r="O260" s="514"/>
      <c r="P260" s="514"/>
      <c r="Q260" s="514"/>
      <c r="S260" s="15"/>
      <c r="U260" s="542">
        <v>191</v>
      </c>
      <c r="V260" s="831"/>
      <c r="W260" s="830"/>
      <c r="Y260" s="1009">
        <f t="shared" si="5"/>
        <v>0</v>
      </c>
      <c r="Z260" s="514"/>
      <c r="AA260" s="514"/>
      <c r="AB260" s="514"/>
      <c r="AC260" s="514"/>
      <c r="AD260" s="514"/>
      <c r="AE260" s="514"/>
      <c r="AF260" s="514"/>
      <c r="AG260" s="514"/>
      <c r="AH260" s="514"/>
      <c r="AI260" s="1010"/>
      <c r="AJ260" s="1010"/>
      <c r="AK260" s="1010"/>
      <c r="AL260" s="15"/>
    </row>
    <row r="261" spans="2:38">
      <c r="B261" s="542">
        <v>192</v>
      </c>
      <c r="C261" s="831"/>
      <c r="D261" s="830"/>
      <c r="F261" s="1008">
        <f t="shared" si="4"/>
        <v>0</v>
      </c>
      <c r="G261" s="514"/>
      <c r="H261" s="514"/>
      <c r="I261" s="514"/>
      <c r="J261" s="514"/>
      <c r="K261" s="514"/>
      <c r="L261" s="514"/>
      <c r="M261" s="514"/>
      <c r="N261" s="514"/>
      <c r="O261" s="514"/>
      <c r="P261" s="514"/>
      <c r="Q261" s="514"/>
      <c r="S261" s="15"/>
      <c r="U261" s="542">
        <v>192</v>
      </c>
      <c r="V261" s="831"/>
      <c r="W261" s="830"/>
      <c r="Y261" s="1009">
        <f t="shared" si="5"/>
        <v>0</v>
      </c>
      <c r="Z261" s="514"/>
      <c r="AA261" s="514"/>
      <c r="AB261" s="514"/>
      <c r="AC261" s="514"/>
      <c r="AD261" s="514"/>
      <c r="AE261" s="514"/>
      <c r="AF261" s="514"/>
      <c r="AG261" s="514"/>
      <c r="AH261" s="514"/>
      <c r="AI261" s="1010"/>
      <c r="AJ261" s="1010"/>
      <c r="AK261" s="1010"/>
      <c r="AL261" s="15"/>
    </row>
    <row r="262" spans="2:38">
      <c r="B262" s="542">
        <v>193</v>
      </c>
      <c r="C262" s="831"/>
      <c r="D262" s="830"/>
      <c r="F262" s="1008">
        <f t="shared" si="4"/>
        <v>0</v>
      </c>
      <c r="G262" s="514"/>
      <c r="H262" s="514"/>
      <c r="I262" s="514"/>
      <c r="J262" s="514"/>
      <c r="K262" s="514"/>
      <c r="L262" s="514"/>
      <c r="M262" s="514"/>
      <c r="N262" s="514"/>
      <c r="O262" s="514"/>
      <c r="P262" s="514"/>
      <c r="Q262" s="514"/>
      <c r="S262" s="15"/>
      <c r="U262" s="542">
        <v>193</v>
      </c>
      <c r="V262" s="831"/>
      <c r="W262" s="830"/>
      <c r="Y262" s="1009">
        <f t="shared" si="5"/>
        <v>0</v>
      </c>
      <c r="Z262" s="514"/>
      <c r="AA262" s="514"/>
      <c r="AB262" s="514"/>
      <c r="AC262" s="514"/>
      <c r="AD262" s="514"/>
      <c r="AE262" s="514"/>
      <c r="AF262" s="514"/>
      <c r="AG262" s="514"/>
      <c r="AH262" s="514"/>
      <c r="AI262" s="1010"/>
      <c r="AJ262" s="1010"/>
      <c r="AK262" s="1010"/>
      <c r="AL262" s="15"/>
    </row>
    <row r="263" spans="2:38">
      <c r="B263" s="542">
        <v>194</v>
      </c>
      <c r="C263" s="831"/>
      <c r="D263" s="830"/>
      <c r="F263" s="1008">
        <f t="shared" si="4"/>
        <v>0</v>
      </c>
      <c r="G263" s="514"/>
      <c r="H263" s="514"/>
      <c r="I263" s="514"/>
      <c r="J263" s="514"/>
      <c r="K263" s="514"/>
      <c r="L263" s="514"/>
      <c r="M263" s="514"/>
      <c r="N263" s="514"/>
      <c r="O263" s="514"/>
      <c r="P263" s="514"/>
      <c r="Q263" s="514"/>
      <c r="S263" s="15"/>
      <c r="U263" s="542">
        <v>194</v>
      </c>
      <c r="V263" s="831"/>
      <c r="W263" s="830"/>
      <c r="Y263" s="1009">
        <f t="shared" si="5"/>
        <v>0</v>
      </c>
      <c r="Z263" s="514"/>
      <c r="AA263" s="514"/>
      <c r="AB263" s="514"/>
      <c r="AC263" s="514"/>
      <c r="AD263" s="514"/>
      <c r="AE263" s="514"/>
      <c r="AF263" s="514"/>
      <c r="AG263" s="514"/>
      <c r="AH263" s="514"/>
      <c r="AI263" s="1010"/>
      <c r="AJ263" s="1010"/>
      <c r="AK263" s="1010"/>
      <c r="AL263" s="15"/>
    </row>
    <row r="264" spans="2:38">
      <c r="B264" s="542">
        <v>195</v>
      </c>
      <c r="C264" s="831"/>
      <c r="D264" s="830"/>
      <c r="F264" s="1008">
        <f t="shared" ref="F264:F327" si="6">D264-D263</f>
        <v>0</v>
      </c>
      <c r="G264" s="514"/>
      <c r="H264" s="514"/>
      <c r="I264" s="514"/>
      <c r="J264" s="514"/>
      <c r="K264" s="514"/>
      <c r="L264" s="514"/>
      <c r="M264" s="514"/>
      <c r="N264" s="514"/>
      <c r="O264" s="514"/>
      <c r="P264" s="514"/>
      <c r="Q264" s="514"/>
      <c r="S264" s="15"/>
      <c r="U264" s="542">
        <v>195</v>
      </c>
      <c r="V264" s="831"/>
      <c r="W264" s="830"/>
      <c r="Y264" s="1009">
        <f t="shared" ref="Y264:Y327" si="7">W264-W263</f>
        <v>0</v>
      </c>
      <c r="Z264" s="514"/>
      <c r="AA264" s="514"/>
      <c r="AB264" s="514"/>
      <c r="AC264" s="514"/>
      <c r="AD264" s="514"/>
      <c r="AE264" s="514"/>
      <c r="AF264" s="514"/>
      <c r="AG264" s="514"/>
      <c r="AH264" s="514"/>
      <c r="AI264" s="1010"/>
      <c r="AJ264" s="1010"/>
      <c r="AK264" s="1010"/>
      <c r="AL264" s="15"/>
    </row>
    <row r="265" spans="2:38">
      <c r="B265" s="542">
        <v>196</v>
      </c>
      <c r="C265" s="831"/>
      <c r="D265" s="830"/>
      <c r="F265" s="1008">
        <f t="shared" si="6"/>
        <v>0</v>
      </c>
      <c r="G265" s="514"/>
      <c r="H265" s="514"/>
      <c r="I265" s="514"/>
      <c r="J265" s="514"/>
      <c r="K265" s="514"/>
      <c r="L265" s="514"/>
      <c r="M265" s="514"/>
      <c r="N265" s="514"/>
      <c r="O265" s="514"/>
      <c r="P265" s="514"/>
      <c r="Q265" s="514"/>
      <c r="S265" s="15"/>
      <c r="U265" s="542">
        <v>196</v>
      </c>
      <c r="V265" s="831"/>
      <c r="W265" s="830"/>
      <c r="Y265" s="1009">
        <f t="shared" si="7"/>
        <v>0</v>
      </c>
      <c r="Z265" s="514"/>
      <c r="AA265" s="514"/>
      <c r="AB265" s="514"/>
      <c r="AC265" s="514"/>
      <c r="AD265" s="514"/>
      <c r="AE265" s="514"/>
      <c r="AF265" s="514"/>
      <c r="AG265" s="514"/>
      <c r="AH265" s="514"/>
      <c r="AI265" s="1010"/>
      <c r="AJ265" s="1010"/>
      <c r="AK265" s="1010"/>
      <c r="AL265" s="15"/>
    </row>
    <row r="266" spans="2:38">
      <c r="B266" s="542">
        <v>197</v>
      </c>
      <c r="C266" s="831"/>
      <c r="D266" s="830"/>
      <c r="F266" s="1008">
        <f t="shared" si="6"/>
        <v>0</v>
      </c>
      <c r="G266" s="514"/>
      <c r="H266" s="514"/>
      <c r="I266" s="514"/>
      <c r="J266" s="514"/>
      <c r="K266" s="514"/>
      <c r="L266" s="514"/>
      <c r="M266" s="514"/>
      <c r="N266" s="514"/>
      <c r="O266" s="514"/>
      <c r="P266" s="514"/>
      <c r="Q266" s="514"/>
      <c r="S266" s="15"/>
      <c r="U266" s="542">
        <v>197</v>
      </c>
      <c r="V266" s="831"/>
      <c r="W266" s="830"/>
      <c r="Y266" s="1009">
        <f t="shared" si="7"/>
        <v>0</v>
      </c>
      <c r="Z266" s="514"/>
      <c r="AA266" s="514"/>
      <c r="AB266" s="514"/>
      <c r="AC266" s="514"/>
      <c r="AD266" s="514"/>
      <c r="AE266" s="514"/>
      <c r="AF266" s="514"/>
      <c r="AG266" s="514"/>
      <c r="AH266" s="514"/>
      <c r="AI266" s="1010"/>
      <c r="AJ266" s="1010"/>
      <c r="AK266" s="1010"/>
      <c r="AL266" s="15"/>
    </row>
    <row r="267" spans="2:38">
      <c r="B267" s="542">
        <v>198</v>
      </c>
      <c r="C267" s="831"/>
      <c r="D267" s="830"/>
      <c r="F267" s="1008">
        <f t="shared" si="6"/>
        <v>0</v>
      </c>
      <c r="G267" s="514"/>
      <c r="H267" s="514"/>
      <c r="I267" s="514"/>
      <c r="J267" s="514"/>
      <c r="K267" s="514"/>
      <c r="L267" s="514"/>
      <c r="M267" s="514"/>
      <c r="N267" s="514"/>
      <c r="O267" s="514"/>
      <c r="P267" s="514"/>
      <c r="Q267" s="514"/>
      <c r="S267" s="15"/>
      <c r="U267" s="542">
        <v>198</v>
      </c>
      <c r="V267" s="831"/>
      <c r="W267" s="830"/>
      <c r="Y267" s="1009">
        <f t="shared" si="7"/>
        <v>0</v>
      </c>
      <c r="Z267" s="514"/>
      <c r="AA267" s="514"/>
      <c r="AB267" s="514"/>
      <c r="AC267" s="514"/>
      <c r="AD267" s="514"/>
      <c r="AE267" s="514"/>
      <c r="AF267" s="514"/>
      <c r="AG267" s="514"/>
      <c r="AH267" s="514"/>
      <c r="AI267" s="1010"/>
      <c r="AJ267" s="1010"/>
      <c r="AK267" s="1010"/>
      <c r="AL267" s="15"/>
    </row>
    <row r="268" spans="2:38">
      <c r="B268" s="542">
        <v>199</v>
      </c>
      <c r="C268" s="831"/>
      <c r="D268" s="830"/>
      <c r="F268" s="1008">
        <f t="shared" si="6"/>
        <v>0</v>
      </c>
      <c r="G268" s="514"/>
      <c r="H268" s="514"/>
      <c r="I268" s="514"/>
      <c r="J268" s="514"/>
      <c r="K268" s="514"/>
      <c r="L268" s="514"/>
      <c r="M268" s="514"/>
      <c r="N268" s="514"/>
      <c r="O268" s="514"/>
      <c r="P268" s="514"/>
      <c r="Q268" s="514"/>
      <c r="S268" s="15"/>
      <c r="U268" s="542">
        <v>199</v>
      </c>
      <c r="V268" s="831"/>
      <c r="W268" s="830"/>
      <c r="Y268" s="1009">
        <f t="shared" si="7"/>
        <v>0</v>
      </c>
      <c r="Z268" s="514"/>
      <c r="AA268" s="514"/>
      <c r="AB268" s="514"/>
      <c r="AC268" s="514"/>
      <c r="AD268" s="514"/>
      <c r="AE268" s="514"/>
      <c r="AF268" s="514"/>
      <c r="AG268" s="514"/>
      <c r="AH268" s="514"/>
      <c r="AI268" s="1010"/>
      <c r="AJ268" s="1010"/>
      <c r="AK268" s="1010"/>
      <c r="AL268" s="15"/>
    </row>
    <row r="269" spans="2:38">
      <c r="B269" s="542">
        <v>200</v>
      </c>
      <c r="C269" s="831"/>
      <c r="D269" s="830"/>
      <c r="F269" s="1008">
        <f t="shared" si="6"/>
        <v>0</v>
      </c>
      <c r="G269" s="514"/>
      <c r="H269" s="514"/>
      <c r="I269" s="514"/>
      <c r="J269" s="514"/>
      <c r="K269" s="514"/>
      <c r="L269" s="514"/>
      <c r="M269" s="514"/>
      <c r="N269" s="514"/>
      <c r="O269" s="514"/>
      <c r="P269" s="514"/>
      <c r="Q269" s="514"/>
      <c r="S269" s="15"/>
      <c r="U269" s="542">
        <v>200</v>
      </c>
      <c r="V269" s="831"/>
      <c r="W269" s="830"/>
      <c r="Y269" s="1009">
        <f t="shared" si="7"/>
        <v>0</v>
      </c>
      <c r="Z269" s="514"/>
      <c r="AA269" s="514"/>
      <c r="AB269" s="514"/>
      <c r="AC269" s="514"/>
      <c r="AD269" s="514"/>
      <c r="AE269" s="514"/>
      <c r="AF269" s="514"/>
      <c r="AG269" s="514"/>
      <c r="AH269" s="514"/>
      <c r="AI269" s="1010"/>
      <c r="AJ269" s="1010"/>
      <c r="AK269" s="1010"/>
      <c r="AL269" s="15"/>
    </row>
    <row r="270" spans="2:38">
      <c r="B270" s="542">
        <v>201</v>
      </c>
      <c r="C270" s="831"/>
      <c r="D270" s="830"/>
      <c r="F270" s="1008">
        <f t="shared" si="6"/>
        <v>0</v>
      </c>
      <c r="G270" s="514"/>
      <c r="H270" s="514"/>
      <c r="I270" s="514"/>
      <c r="J270" s="514"/>
      <c r="K270" s="514"/>
      <c r="L270" s="514"/>
      <c r="M270" s="514"/>
      <c r="N270" s="514"/>
      <c r="O270" s="514"/>
      <c r="P270" s="514"/>
      <c r="Q270" s="514"/>
      <c r="S270" s="15"/>
      <c r="U270" s="542">
        <v>201</v>
      </c>
      <c r="V270" s="831"/>
      <c r="W270" s="830"/>
      <c r="Y270" s="1009">
        <f t="shared" si="7"/>
        <v>0</v>
      </c>
      <c r="Z270" s="514"/>
      <c r="AA270" s="514"/>
      <c r="AB270" s="514"/>
      <c r="AC270" s="514"/>
      <c r="AD270" s="514"/>
      <c r="AE270" s="514"/>
      <c r="AF270" s="514"/>
      <c r="AG270" s="514"/>
      <c r="AH270" s="514"/>
      <c r="AI270" s="1010"/>
      <c r="AJ270" s="1010"/>
      <c r="AK270" s="1010"/>
      <c r="AL270" s="15"/>
    </row>
    <row r="271" spans="2:38">
      <c r="B271" s="542">
        <v>202</v>
      </c>
      <c r="C271" s="831"/>
      <c r="D271" s="830"/>
      <c r="F271" s="1008">
        <f t="shared" si="6"/>
        <v>0</v>
      </c>
      <c r="G271" s="514"/>
      <c r="H271" s="514"/>
      <c r="I271" s="514"/>
      <c r="J271" s="514"/>
      <c r="K271" s="514"/>
      <c r="L271" s="514"/>
      <c r="M271" s="514"/>
      <c r="N271" s="514"/>
      <c r="O271" s="514"/>
      <c r="P271" s="514"/>
      <c r="Q271" s="514"/>
      <c r="S271" s="15"/>
      <c r="U271" s="542">
        <v>202</v>
      </c>
      <c r="V271" s="831"/>
      <c r="W271" s="830"/>
      <c r="Y271" s="1009">
        <f t="shared" si="7"/>
        <v>0</v>
      </c>
      <c r="Z271" s="514"/>
      <c r="AA271" s="514"/>
      <c r="AB271" s="514"/>
      <c r="AC271" s="514"/>
      <c r="AD271" s="514"/>
      <c r="AE271" s="514"/>
      <c r="AF271" s="514"/>
      <c r="AG271" s="514"/>
      <c r="AH271" s="514"/>
      <c r="AI271" s="1010"/>
      <c r="AJ271" s="1010"/>
      <c r="AK271" s="1010"/>
      <c r="AL271" s="15"/>
    </row>
    <row r="272" spans="2:38">
      <c r="B272" s="542">
        <v>203</v>
      </c>
      <c r="C272" s="831"/>
      <c r="D272" s="830"/>
      <c r="F272" s="1008">
        <f t="shared" si="6"/>
        <v>0</v>
      </c>
      <c r="G272" s="514"/>
      <c r="H272" s="514"/>
      <c r="I272" s="514"/>
      <c r="J272" s="514"/>
      <c r="K272" s="514"/>
      <c r="L272" s="514"/>
      <c r="M272" s="514"/>
      <c r="N272" s="514"/>
      <c r="O272" s="514"/>
      <c r="P272" s="514"/>
      <c r="Q272" s="514"/>
      <c r="S272" s="15"/>
      <c r="U272" s="542">
        <v>203</v>
      </c>
      <c r="V272" s="831"/>
      <c r="W272" s="830"/>
      <c r="Y272" s="1009">
        <f t="shared" si="7"/>
        <v>0</v>
      </c>
      <c r="Z272" s="514"/>
      <c r="AA272" s="514"/>
      <c r="AB272" s="514"/>
      <c r="AC272" s="514"/>
      <c r="AD272" s="514"/>
      <c r="AE272" s="514"/>
      <c r="AF272" s="514"/>
      <c r="AG272" s="514"/>
      <c r="AH272" s="514"/>
      <c r="AI272" s="1010"/>
      <c r="AJ272" s="1010"/>
      <c r="AK272" s="1010"/>
      <c r="AL272" s="15"/>
    </row>
    <row r="273" spans="2:38">
      <c r="B273" s="542">
        <v>204</v>
      </c>
      <c r="C273" s="831"/>
      <c r="D273" s="830"/>
      <c r="F273" s="1008">
        <f t="shared" si="6"/>
        <v>0</v>
      </c>
      <c r="G273" s="514"/>
      <c r="H273" s="514"/>
      <c r="I273" s="514"/>
      <c r="J273" s="514"/>
      <c r="K273" s="514"/>
      <c r="L273" s="514"/>
      <c r="M273" s="514"/>
      <c r="N273" s="514"/>
      <c r="O273" s="514"/>
      <c r="P273" s="514"/>
      <c r="Q273" s="514"/>
      <c r="S273" s="15"/>
      <c r="U273" s="542">
        <v>204</v>
      </c>
      <c r="V273" s="831"/>
      <c r="W273" s="830"/>
      <c r="Y273" s="1009">
        <f t="shared" si="7"/>
        <v>0</v>
      </c>
      <c r="Z273" s="514"/>
      <c r="AA273" s="514"/>
      <c r="AB273" s="514"/>
      <c r="AC273" s="514"/>
      <c r="AD273" s="514"/>
      <c r="AE273" s="514"/>
      <c r="AF273" s="514"/>
      <c r="AG273" s="514"/>
      <c r="AH273" s="514"/>
      <c r="AI273" s="1010"/>
      <c r="AJ273" s="1010"/>
      <c r="AK273" s="1010"/>
      <c r="AL273" s="15"/>
    </row>
    <row r="274" spans="2:38">
      <c r="B274" s="542">
        <v>205</v>
      </c>
      <c r="C274" s="831"/>
      <c r="D274" s="830"/>
      <c r="F274" s="1008">
        <f t="shared" si="6"/>
        <v>0</v>
      </c>
      <c r="G274" s="514"/>
      <c r="H274" s="514"/>
      <c r="I274" s="514"/>
      <c r="J274" s="514"/>
      <c r="K274" s="514"/>
      <c r="L274" s="514"/>
      <c r="M274" s="514"/>
      <c r="N274" s="514"/>
      <c r="O274" s="514"/>
      <c r="P274" s="514"/>
      <c r="Q274" s="514"/>
      <c r="S274" s="15"/>
      <c r="U274" s="542">
        <v>205</v>
      </c>
      <c r="V274" s="831"/>
      <c r="W274" s="830"/>
      <c r="Y274" s="1009">
        <f t="shared" si="7"/>
        <v>0</v>
      </c>
      <c r="Z274" s="514"/>
      <c r="AA274" s="514"/>
      <c r="AB274" s="514"/>
      <c r="AC274" s="514"/>
      <c r="AD274" s="514"/>
      <c r="AE274" s="514"/>
      <c r="AF274" s="514"/>
      <c r="AG274" s="514"/>
      <c r="AH274" s="514"/>
      <c r="AI274" s="1010"/>
      <c r="AJ274" s="1010"/>
      <c r="AK274" s="1010"/>
      <c r="AL274" s="15"/>
    </row>
    <row r="275" spans="2:38">
      <c r="B275" s="542">
        <v>206</v>
      </c>
      <c r="C275" s="831"/>
      <c r="D275" s="830"/>
      <c r="F275" s="1008">
        <f t="shared" si="6"/>
        <v>0</v>
      </c>
      <c r="G275" s="514"/>
      <c r="H275" s="514"/>
      <c r="I275" s="514"/>
      <c r="J275" s="514"/>
      <c r="K275" s="514"/>
      <c r="L275" s="514"/>
      <c r="M275" s="514"/>
      <c r="N275" s="514"/>
      <c r="O275" s="514"/>
      <c r="P275" s="514"/>
      <c r="Q275" s="514"/>
      <c r="S275" s="15"/>
      <c r="U275" s="542">
        <v>206</v>
      </c>
      <c r="V275" s="831"/>
      <c r="W275" s="830"/>
      <c r="Y275" s="1009">
        <f t="shared" si="7"/>
        <v>0</v>
      </c>
      <c r="Z275" s="514"/>
      <c r="AA275" s="514"/>
      <c r="AB275" s="514"/>
      <c r="AC275" s="514"/>
      <c r="AD275" s="514"/>
      <c r="AE275" s="514"/>
      <c r="AF275" s="514"/>
      <c r="AG275" s="514"/>
      <c r="AH275" s="514"/>
      <c r="AI275" s="1010"/>
      <c r="AJ275" s="1010"/>
      <c r="AK275" s="1010"/>
      <c r="AL275" s="15"/>
    </row>
    <row r="276" spans="2:38">
      <c r="B276" s="542">
        <v>207</v>
      </c>
      <c r="C276" s="831"/>
      <c r="D276" s="830"/>
      <c r="F276" s="1008">
        <f t="shared" si="6"/>
        <v>0</v>
      </c>
      <c r="G276" s="514"/>
      <c r="H276" s="514"/>
      <c r="I276" s="514"/>
      <c r="J276" s="514"/>
      <c r="K276" s="514"/>
      <c r="L276" s="514"/>
      <c r="M276" s="514"/>
      <c r="N276" s="514"/>
      <c r="O276" s="514"/>
      <c r="P276" s="514"/>
      <c r="Q276" s="514"/>
      <c r="S276" s="15"/>
      <c r="U276" s="542">
        <v>207</v>
      </c>
      <c r="V276" s="831"/>
      <c r="W276" s="830"/>
      <c r="Y276" s="1009">
        <f t="shared" si="7"/>
        <v>0</v>
      </c>
      <c r="Z276" s="514"/>
      <c r="AA276" s="514"/>
      <c r="AB276" s="514"/>
      <c r="AC276" s="514"/>
      <c r="AD276" s="514"/>
      <c r="AE276" s="514"/>
      <c r="AF276" s="514"/>
      <c r="AG276" s="514"/>
      <c r="AH276" s="514"/>
      <c r="AI276" s="1010"/>
      <c r="AJ276" s="1010"/>
      <c r="AK276" s="1010"/>
      <c r="AL276" s="15"/>
    </row>
    <row r="277" spans="2:38">
      <c r="B277" s="542">
        <v>208</v>
      </c>
      <c r="C277" s="831"/>
      <c r="D277" s="830"/>
      <c r="F277" s="1008">
        <f t="shared" si="6"/>
        <v>0</v>
      </c>
      <c r="G277" s="514"/>
      <c r="H277" s="514"/>
      <c r="I277" s="514"/>
      <c r="J277" s="514"/>
      <c r="K277" s="514"/>
      <c r="L277" s="514"/>
      <c r="M277" s="514"/>
      <c r="N277" s="514"/>
      <c r="O277" s="514"/>
      <c r="P277" s="514"/>
      <c r="Q277" s="514"/>
      <c r="S277" s="15"/>
      <c r="U277" s="542">
        <v>208</v>
      </c>
      <c r="V277" s="831"/>
      <c r="W277" s="830"/>
      <c r="Y277" s="1009">
        <f t="shared" si="7"/>
        <v>0</v>
      </c>
      <c r="Z277" s="514"/>
      <c r="AA277" s="514"/>
      <c r="AB277" s="514"/>
      <c r="AC277" s="514"/>
      <c r="AD277" s="514"/>
      <c r="AE277" s="514"/>
      <c r="AF277" s="514"/>
      <c r="AG277" s="514"/>
      <c r="AH277" s="514"/>
      <c r="AI277" s="1010"/>
      <c r="AJ277" s="1010"/>
      <c r="AK277" s="1010"/>
      <c r="AL277" s="15"/>
    </row>
    <row r="278" spans="2:38">
      <c r="B278" s="542">
        <v>209</v>
      </c>
      <c r="C278" s="831"/>
      <c r="D278" s="830"/>
      <c r="F278" s="1008">
        <f t="shared" si="6"/>
        <v>0</v>
      </c>
      <c r="G278" s="514"/>
      <c r="H278" s="514"/>
      <c r="I278" s="514"/>
      <c r="J278" s="514"/>
      <c r="K278" s="514"/>
      <c r="L278" s="514"/>
      <c r="M278" s="514"/>
      <c r="N278" s="514"/>
      <c r="O278" s="514"/>
      <c r="P278" s="514"/>
      <c r="Q278" s="514"/>
      <c r="S278" s="15"/>
      <c r="U278" s="542">
        <v>209</v>
      </c>
      <c r="V278" s="831"/>
      <c r="W278" s="830"/>
      <c r="Y278" s="1009">
        <f t="shared" si="7"/>
        <v>0</v>
      </c>
      <c r="Z278" s="514"/>
      <c r="AA278" s="514"/>
      <c r="AB278" s="514"/>
      <c r="AC278" s="514"/>
      <c r="AD278" s="514"/>
      <c r="AE278" s="514"/>
      <c r="AF278" s="514"/>
      <c r="AG278" s="514"/>
      <c r="AH278" s="514"/>
      <c r="AI278" s="1010"/>
      <c r="AJ278" s="1010"/>
      <c r="AK278" s="1010"/>
      <c r="AL278" s="15"/>
    </row>
    <row r="279" spans="2:38">
      <c r="B279" s="542">
        <v>210</v>
      </c>
      <c r="C279" s="831"/>
      <c r="D279" s="830"/>
      <c r="F279" s="1008">
        <f t="shared" si="6"/>
        <v>0</v>
      </c>
      <c r="G279" s="514"/>
      <c r="H279" s="514"/>
      <c r="I279" s="514"/>
      <c r="J279" s="514"/>
      <c r="K279" s="514"/>
      <c r="L279" s="514"/>
      <c r="M279" s="514"/>
      <c r="N279" s="514"/>
      <c r="O279" s="514"/>
      <c r="P279" s="514"/>
      <c r="Q279" s="514"/>
      <c r="S279" s="15"/>
      <c r="U279" s="542">
        <v>210</v>
      </c>
      <c r="V279" s="831"/>
      <c r="W279" s="830"/>
      <c r="Y279" s="1009">
        <f t="shared" si="7"/>
        <v>0</v>
      </c>
      <c r="Z279" s="514"/>
      <c r="AA279" s="514"/>
      <c r="AB279" s="514"/>
      <c r="AC279" s="514"/>
      <c r="AD279" s="514"/>
      <c r="AE279" s="514"/>
      <c r="AF279" s="514"/>
      <c r="AG279" s="514"/>
      <c r="AH279" s="514"/>
      <c r="AI279" s="1010"/>
      <c r="AJ279" s="1010"/>
      <c r="AK279" s="1010"/>
      <c r="AL279" s="15"/>
    </row>
    <row r="280" spans="2:38">
      <c r="B280" s="542">
        <v>211</v>
      </c>
      <c r="C280" s="831"/>
      <c r="D280" s="830"/>
      <c r="F280" s="1008">
        <f t="shared" si="6"/>
        <v>0</v>
      </c>
      <c r="G280" s="514"/>
      <c r="H280" s="514"/>
      <c r="I280" s="514"/>
      <c r="J280" s="514"/>
      <c r="K280" s="514"/>
      <c r="L280" s="514"/>
      <c r="M280" s="514"/>
      <c r="N280" s="514"/>
      <c r="O280" s="514"/>
      <c r="P280" s="514"/>
      <c r="Q280" s="514"/>
      <c r="S280" s="15"/>
      <c r="U280" s="542">
        <v>211</v>
      </c>
      <c r="V280" s="831"/>
      <c r="W280" s="830"/>
      <c r="Y280" s="1009">
        <f t="shared" si="7"/>
        <v>0</v>
      </c>
      <c r="Z280" s="514"/>
      <c r="AA280" s="514"/>
      <c r="AB280" s="514"/>
      <c r="AC280" s="514"/>
      <c r="AD280" s="514"/>
      <c r="AE280" s="514"/>
      <c r="AF280" s="514"/>
      <c r="AG280" s="514"/>
      <c r="AH280" s="514"/>
      <c r="AI280" s="1010"/>
      <c r="AJ280" s="1010"/>
      <c r="AK280" s="1010"/>
      <c r="AL280" s="15"/>
    </row>
    <row r="281" spans="2:38">
      <c r="B281" s="542">
        <v>212</v>
      </c>
      <c r="C281" s="831"/>
      <c r="D281" s="830"/>
      <c r="F281" s="1008">
        <f t="shared" si="6"/>
        <v>0</v>
      </c>
      <c r="G281" s="514"/>
      <c r="H281" s="514"/>
      <c r="I281" s="514"/>
      <c r="J281" s="514"/>
      <c r="K281" s="514"/>
      <c r="L281" s="514"/>
      <c r="M281" s="514"/>
      <c r="N281" s="514"/>
      <c r="O281" s="514"/>
      <c r="P281" s="514"/>
      <c r="Q281" s="514"/>
      <c r="S281" s="15"/>
      <c r="U281" s="542">
        <v>212</v>
      </c>
      <c r="V281" s="831"/>
      <c r="W281" s="830"/>
      <c r="Y281" s="1009">
        <f t="shared" si="7"/>
        <v>0</v>
      </c>
      <c r="Z281" s="514"/>
      <c r="AA281" s="514"/>
      <c r="AB281" s="514"/>
      <c r="AC281" s="514"/>
      <c r="AD281" s="514"/>
      <c r="AE281" s="514"/>
      <c r="AF281" s="514"/>
      <c r="AG281" s="514"/>
      <c r="AH281" s="514"/>
      <c r="AI281" s="1010"/>
      <c r="AJ281" s="1010"/>
      <c r="AK281" s="1010"/>
      <c r="AL281" s="15"/>
    </row>
    <row r="282" spans="2:38">
      <c r="B282" s="542">
        <v>213</v>
      </c>
      <c r="C282" s="831"/>
      <c r="D282" s="830"/>
      <c r="F282" s="1008">
        <f t="shared" si="6"/>
        <v>0</v>
      </c>
      <c r="G282" s="514"/>
      <c r="H282" s="514"/>
      <c r="I282" s="514"/>
      <c r="J282" s="514"/>
      <c r="K282" s="514"/>
      <c r="L282" s="514"/>
      <c r="M282" s="514"/>
      <c r="N282" s="514"/>
      <c r="O282" s="514"/>
      <c r="P282" s="514"/>
      <c r="Q282" s="514"/>
      <c r="S282" s="15"/>
      <c r="U282" s="542">
        <v>213</v>
      </c>
      <c r="V282" s="831"/>
      <c r="W282" s="830"/>
      <c r="Y282" s="1009">
        <f t="shared" si="7"/>
        <v>0</v>
      </c>
      <c r="Z282" s="514"/>
      <c r="AA282" s="514"/>
      <c r="AB282" s="514"/>
      <c r="AC282" s="514"/>
      <c r="AD282" s="514"/>
      <c r="AE282" s="514"/>
      <c r="AF282" s="514"/>
      <c r="AG282" s="514"/>
      <c r="AH282" s="514"/>
      <c r="AI282" s="1010"/>
      <c r="AJ282" s="1010"/>
      <c r="AK282" s="1010"/>
      <c r="AL282" s="15"/>
    </row>
    <row r="283" spans="2:38">
      <c r="B283" s="542">
        <v>214</v>
      </c>
      <c r="C283" s="831"/>
      <c r="D283" s="830"/>
      <c r="F283" s="1008">
        <f t="shared" si="6"/>
        <v>0</v>
      </c>
      <c r="G283" s="514"/>
      <c r="H283" s="514"/>
      <c r="I283" s="514"/>
      <c r="J283" s="514"/>
      <c r="K283" s="514"/>
      <c r="L283" s="514"/>
      <c r="M283" s="514"/>
      <c r="N283" s="514"/>
      <c r="O283" s="514"/>
      <c r="P283" s="514"/>
      <c r="Q283" s="514"/>
      <c r="S283" s="15"/>
      <c r="U283" s="542">
        <v>214</v>
      </c>
      <c r="V283" s="831"/>
      <c r="W283" s="830"/>
      <c r="Y283" s="1009">
        <f t="shared" si="7"/>
        <v>0</v>
      </c>
      <c r="Z283" s="514"/>
      <c r="AA283" s="514"/>
      <c r="AB283" s="514"/>
      <c r="AC283" s="514"/>
      <c r="AD283" s="514"/>
      <c r="AE283" s="514"/>
      <c r="AF283" s="514"/>
      <c r="AG283" s="514"/>
      <c r="AH283" s="514"/>
      <c r="AI283" s="1010"/>
      <c r="AJ283" s="1010"/>
      <c r="AK283" s="1010"/>
      <c r="AL283" s="15"/>
    </row>
    <row r="284" spans="2:38">
      <c r="B284" s="542">
        <v>215</v>
      </c>
      <c r="C284" s="831"/>
      <c r="D284" s="830"/>
      <c r="F284" s="1008">
        <f t="shared" si="6"/>
        <v>0</v>
      </c>
      <c r="G284" s="514"/>
      <c r="H284" s="514"/>
      <c r="I284" s="514"/>
      <c r="J284" s="514"/>
      <c r="K284" s="514"/>
      <c r="L284" s="514"/>
      <c r="M284" s="514"/>
      <c r="N284" s="514"/>
      <c r="O284" s="514"/>
      <c r="P284" s="514"/>
      <c r="Q284" s="514"/>
      <c r="S284" s="15"/>
      <c r="U284" s="542">
        <v>215</v>
      </c>
      <c r="V284" s="831"/>
      <c r="W284" s="830"/>
      <c r="Y284" s="1009">
        <f t="shared" si="7"/>
        <v>0</v>
      </c>
      <c r="Z284" s="514"/>
      <c r="AA284" s="514"/>
      <c r="AB284" s="514"/>
      <c r="AC284" s="514"/>
      <c r="AD284" s="514"/>
      <c r="AE284" s="514"/>
      <c r="AF284" s="514"/>
      <c r="AG284" s="514"/>
      <c r="AH284" s="514"/>
      <c r="AI284" s="1010"/>
      <c r="AJ284" s="1010"/>
      <c r="AK284" s="1010"/>
      <c r="AL284" s="15"/>
    </row>
    <row r="285" spans="2:38">
      <c r="B285" s="542">
        <v>216</v>
      </c>
      <c r="C285" s="831"/>
      <c r="D285" s="830"/>
      <c r="F285" s="1008">
        <f t="shared" si="6"/>
        <v>0</v>
      </c>
      <c r="G285" s="514"/>
      <c r="H285" s="514"/>
      <c r="I285" s="514"/>
      <c r="J285" s="514"/>
      <c r="K285" s="514"/>
      <c r="L285" s="514"/>
      <c r="M285" s="514"/>
      <c r="N285" s="514"/>
      <c r="O285" s="514"/>
      <c r="P285" s="514"/>
      <c r="Q285" s="514"/>
      <c r="S285" s="15"/>
      <c r="U285" s="542">
        <v>216</v>
      </c>
      <c r="V285" s="831"/>
      <c r="W285" s="830"/>
      <c r="Y285" s="1009">
        <f t="shared" si="7"/>
        <v>0</v>
      </c>
      <c r="Z285" s="514"/>
      <c r="AA285" s="514"/>
      <c r="AB285" s="514"/>
      <c r="AC285" s="514"/>
      <c r="AD285" s="514"/>
      <c r="AE285" s="514"/>
      <c r="AF285" s="514"/>
      <c r="AG285" s="514"/>
      <c r="AH285" s="514"/>
      <c r="AI285" s="1010"/>
      <c r="AJ285" s="1010"/>
      <c r="AK285" s="1010"/>
      <c r="AL285" s="15"/>
    </row>
    <row r="286" spans="2:38">
      <c r="B286" s="542">
        <v>217</v>
      </c>
      <c r="C286" s="831"/>
      <c r="D286" s="830"/>
      <c r="F286" s="1008">
        <f t="shared" si="6"/>
        <v>0</v>
      </c>
      <c r="G286" s="514"/>
      <c r="H286" s="514"/>
      <c r="I286" s="514"/>
      <c r="J286" s="514"/>
      <c r="K286" s="514"/>
      <c r="L286" s="514"/>
      <c r="M286" s="514"/>
      <c r="N286" s="514"/>
      <c r="O286" s="514"/>
      <c r="P286" s="514"/>
      <c r="Q286" s="514"/>
      <c r="S286" s="15"/>
      <c r="U286" s="542">
        <v>217</v>
      </c>
      <c r="V286" s="831"/>
      <c r="W286" s="830"/>
      <c r="Y286" s="1009">
        <f t="shared" si="7"/>
        <v>0</v>
      </c>
      <c r="Z286" s="514"/>
      <c r="AA286" s="514"/>
      <c r="AB286" s="514"/>
      <c r="AC286" s="514"/>
      <c r="AD286" s="514"/>
      <c r="AE286" s="514"/>
      <c r="AF286" s="514"/>
      <c r="AG286" s="514"/>
      <c r="AH286" s="514"/>
      <c r="AI286" s="1010"/>
      <c r="AJ286" s="1010"/>
      <c r="AK286" s="1010"/>
      <c r="AL286" s="15"/>
    </row>
    <row r="287" spans="2:38">
      <c r="B287" s="542">
        <v>218</v>
      </c>
      <c r="C287" s="831"/>
      <c r="D287" s="830"/>
      <c r="F287" s="1008">
        <f t="shared" si="6"/>
        <v>0</v>
      </c>
      <c r="G287" s="514"/>
      <c r="H287" s="514"/>
      <c r="I287" s="514"/>
      <c r="J287" s="514"/>
      <c r="K287" s="514"/>
      <c r="L287" s="514"/>
      <c r="M287" s="514"/>
      <c r="N287" s="514"/>
      <c r="O287" s="514"/>
      <c r="P287" s="514"/>
      <c r="Q287" s="514"/>
      <c r="S287" s="15"/>
      <c r="U287" s="542">
        <v>218</v>
      </c>
      <c r="V287" s="831"/>
      <c r="W287" s="830"/>
      <c r="Y287" s="1009">
        <f t="shared" si="7"/>
        <v>0</v>
      </c>
      <c r="Z287" s="514"/>
      <c r="AA287" s="514"/>
      <c r="AB287" s="514"/>
      <c r="AC287" s="514"/>
      <c r="AD287" s="514"/>
      <c r="AE287" s="514"/>
      <c r="AF287" s="514"/>
      <c r="AG287" s="514"/>
      <c r="AH287" s="514"/>
      <c r="AI287" s="1010"/>
      <c r="AJ287" s="1010"/>
      <c r="AK287" s="1010"/>
      <c r="AL287" s="15"/>
    </row>
    <row r="288" spans="2:38">
      <c r="B288" s="542">
        <v>219</v>
      </c>
      <c r="C288" s="831"/>
      <c r="D288" s="830"/>
      <c r="F288" s="1008">
        <f t="shared" si="6"/>
        <v>0</v>
      </c>
      <c r="G288" s="514"/>
      <c r="H288" s="514"/>
      <c r="I288" s="514"/>
      <c r="J288" s="514"/>
      <c r="K288" s="514"/>
      <c r="L288" s="514"/>
      <c r="M288" s="514"/>
      <c r="N288" s="514"/>
      <c r="O288" s="514"/>
      <c r="P288" s="514"/>
      <c r="Q288" s="514"/>
      <c r="S288" s="15"/>
      <c r="U288" s="542">
        <v>219</v>
      </c>
      <c r="V288" s="831"/>
      <c r="W288" s="830"/>
      <c r="Y288" s="1009">
        <f t="shared" si="7"/>
        <v>0</v>
      </c>
      <c r="Z288" s="514"/>
      <c r="AA288" s="514"/>
      <c r="AB288" s="514"/>
      <c r="AC288" s="514"/>
      <c r="AD288" s="514"/>
      <c r="AE288" s="514"/>
      <c r="AF288" s="514"/>
      <c r="AG288" s="514"/>
      <c r="AH288" s="514"/>
      <c r="AI288" s="1010"/>
      <c r="AJ288" s="1010"/>
      <c r="AK288" s="1010"/>
      <c r="AL288" s="15"/>
    </row>
    <row r="289" spans="2:38">
      <c r="B289" s="542">
        <v>220</v>
      </c>
      <c r="C289" s="831"/>
      <c r="D289" s="830"/>
      <c r="F289" s="1008">
        <f t="shared" si="6"/>
        <v>0</v>
      </c>
      <c r="G289" s="514"/>
      <c r="H289" s="514"/>
      <c r="I289" s="514"/>
      <c r="J289" s="514"/>
      <c r="K289" s="514"/>
      <c r="L289" s="514"/>
      <c r="M289" s="514"/>
      <c r="N289" s="514"/>
      <c r="O289" s="514"/>
      <c r="P289" s="514"/>
      <c r="Q289" s="514"/>
      <c r="S289" s="15"/>
      <c r="U289" s="542">
        <v>220</v>
      </c>
      <c r="V289" s="831"/>
      <c r="W289" s="830"/>
      <c r="Y289" s="1009">
        <f t="shared" si="7"/>
        <v>0</v>
      </c>
      <c r="Z289" s="514"/>
      <c r="AA289" s="514"/>
      <c r="AB289" s="514"/>
      <c r="AC289" s="514"/>
      <c r="AD289" s="514"/>
      <c r="AE289" s="514"/>
      <c r="AF289" s="514"/>
      <c r="AG289" s="514"/>
      <c r="AH289" s="514"/>
      <c r="AI289" s="1010"/>
      <c r="AJ289" s="1010"/>
      <c r="AK289" s="1010"/>
      <c r="AL289" s="15"/>
    </row>
    <row r="290" spans="2:38">
      <c r="B290" s="542">
        <v>221</v>
      </c>
      <c r="C290" s="831"/>
      <c r="D290" s="830"/>
      <c r="F290" s="1008">
        <f t="shared" si="6"/>
        <v>0</v>
      </c>
      <c r="G290" s="514"/>
      <c r="H290" s="514"/>
      <c r="I290" s="514"/>
      <c r="J290" s="514"/>
      <c r="K290" s="514"/>
      <c r="L290" s="514"/>
      <c r="M290" s="514"/>
      <c r="N290" s="514"/>
      <c r="O290" s="514"/>
      <c r="P290" s="514"/>
      <c r="Q290" s="514"/>
      <c r="S290" s="15"/>
      <c r="U290" s="542">
        <v>221</v>
      </c>
      <c r="V290" s="831"/>
      <c r="W290" s="830"/>
      <c r="Y290" s="1009">
        <f t="shared" si="7"/>
        <v>0</v>
      </c>
      <c r="Z290" s="514"/>
      <c r="AA290" s="514"/>
      <c r="AB290" s="514"/>
      <c r="AC290" s="514"/>
      <c r="AD290" s="514"/>
      <c r="AE290" s="514"/>
      <c r="AF290" s="514"/>
      <c r="AG290" s="514"/>
      <c r="AH290" s="514"/>
      <c r="AI290" s="1010"/>
      <c r="AJ290" s="1010"/>
      <c r="AK290" s="1010"/>
      <c r="AL290" s="15"/>
    </row>
    <row r="291" spans="2:38">
      <c r="B291" s="542">
        <v>222</v>
      </c>
      <c r="C291" s="831"/>
      <c r="D291" s="830"/>
      <c r="F291" s="1008">
        <f t="shared" si="6"/>
        <v>0</v>
      </c>
      <c r="G291" s="514"/>
      <c r="H291" s="514"/>
      <c r="I291" s="514"/>
      <c r="J291" s="514"/>
      <c r="K291" s="514"/>
      <c r="L291" s="514"/>
      <c r="M291" s="514"/>
      <c r="N291" s="514"/>
      <c r="O291" s="514"/>
      <c r="P291" s="514"/>
      <c r="Q291" s="514"/>
      <c r="S291" s="15"/>
      <c r="U291" s="542">
        <v>222</v>
      </c>
      <c r="V291" s="831"/>
      <c r="W291" s="830"/>
      <c r="Y291" s="1009">
        <f t="shared" si="7"/>
        <v>0</v>
      </c>
      <c r="Z291" s="514"/>
      <c r="AA291" s="514"/>
      <c r="AB291" s="514"/>
      <c r="AC291" s="514"/>
      <c r="AD291" s="514"/>
      <c r="AE291" s="514"/>
      <c r="AF291" s="514"/>
      <c r="AG291" s="514"/>
      <c r="AH291" s="514"/>
      <c r="AI291" s="1010"/>
      <c r="AJ291" s="1010"/>
      <c r="AK291" s="1010"/>
      <c r="AL291" s="15"/>
    </row>
    <row r="292" spans="2:38">
      <c r="B292" s="542">
        <v>223</v>
      </c>
      <c r="C292" s="831"/>
      <c r="D292" s="830"/>
      <c r="F292" s="1008">
        <f t="shared" si="6"/>
        <v>0</v>
      </c>
      <c r="G292" s="514"/>
      <c r="H292" s="514"/>
      <c r="I292" s="514"/>
      <c r="J292" s="514"/>
      <c r="K292" s="514"/>
      <c r="L292" s="514"/>
      <c r="M292" s="514"/>
      <c r="N292" s="514"/>
      <c r="O292" s="514"/>
      <c r="P292" s="514"/>
      <c r="Q292" s="514"/>
      <c r="S292" s="15"/>
      <c r="U292" s="542">
        <v>223</v>
      </c>
      <c r="V292" s="831"/>
      <c r="W292" s="830"/>
      <c r="Y292" s="1009">
        <f t="shared" si="7"/>
        <v>0</v>
      </c>
      <c r="Z292" s="514"/>
      <c r="AA292" s="514"/>
      <c r="AB292" s="514"/>
      <c r="AC292" s="514"/>
      <c r="AD292" s="514"/>
      <c r="AE292" s="514"/>
      <c r="AF292" s="514"/>
      <c r="AG292" s="514"/>
      <c r="AH292" s="514"/>
      <c r="AI292" s="1010"/>
      <c r="AJ292" s="1010"/>
      <c r="AK292" s="1010"/>
      <c r="AL292" s="15"/>
    </row>
    <row r="293" spans="2:38">
      <c r="B293" s="542">
        <v>224</v>
      </c>
      <c r="C293" s="831"/>
      <c r="D293" s="830"/>
      <c r="F293" s="1008">
        <f t="shared" si="6"/>
        <v>0</v>
      </c>
      <c r="G293" s="514"/>
      <c r="H293" s="514"/>
      <c r="I293" s="514"/>
      <c r="J293" s="514"/>
      <c r="K293" s="514"/>
      <c r="L293" s="514"/>
      <c r="M293" s="514"/>
      <c r="N293" s="514"/>
      <c r="O293" s="514"/>
      <c r="P293" s="514"/>
      <c r="Q293" s="514"/>
      <c r="S293" s="15"/>
      <c r="U293" s="542">
        <v>224</v>
      </c>
      <c r="V293" s="831"/>
      <c r="W293" s="830"/>
      <c r="Y293" s="1009">
        <f t="shared" si="7"/>
        <v>0</v>
      </c>
      <c r="Z293" s="514"/>
      <c r="AA293" s="514"/>
      <c r="AB293" s="514"/>
      <c r="AC293" s="514"/>
      <c r="AD293" s="514"/>
      <c r="AE293" s="514"/>
      <c r="AF293" s="514"/>
      <c r="AG293" s="514"/>
      <c r="AH293" s="514"/>
      <c r="AI293" s="1010"/>
      <c r="AJ293" s="1010"/>
      <c r="AK293" s="1010"/>
      <c r="AL293" s="15"/>
    </row>
    <row r="294" spans="2:38">
      <c r="B294" s="542">
        <v>225</v>
      </c>
      <c r="C294" s="831"/>
      <c r="D294" s="830"/>
      <c r="F294" s="1008">
        <f t="shared" si="6"/>
        <v>0</v>
      </c>
      <c r="G294" s="514"/>
      <c r="H294" s="514"/>
      <c r="I294" s="514"/>
      <c r="J294" s="514"/>
      <c r="K294" s="514"/>
      <c r="L294" s="514"/>
      <c r="M294" s="514"/>
      <c r="N294" s="514"/>
      <c r="O294" s="514"/>
      <c r="P294" s="514"/>
      <c r="Q294" s="514"/>
      <c r="S294" s="15"/>
      <c r="U294" s="542">
        <v>225</v>
      </c>
      <c r="V294" s="831"/>
      <c r="W294" s="830"/>
      <c r="Y294" s="1009">
        <f t="shared" si="7"/>
        <v>0</v>
      </c>
      <c r="Z294" s="514"/>
      <c r="AA294" s="514"/>
      <c r="AB294" s="514"/>
      <c r="AC294" s="514"/>
      <c r="AD294" s="514"/>
      <c r="AE294" s="514"/>
      <c r="AF294" s="514"/>
      <c r="AG294" s="514"/>
      <c r="AH294" s="514"/>
      <c r="AI294" s="1010"/>
      <c r="AJ294" s="1010"/>
      <c r="AK294" s="1010"/>
      <c r="AL294" s="15"/>
    </row>
    <row r="295" spans="2:38">
      <c r="B295" s="542">
        <v>226</v>
      </c>
      <c r="C295" s="831"/>
      <c r="D295" s="830"/>
      <c r="F295" s="1008">
        <f t="shared" si="6"/>
        <v>0</v>
      </c>
      <c r="G295" s="514"/>
      <c r="H295" s="514"/>
      <c r="I295" s="514"/>
      <c r="J295" s="514"/>
      <c r="K295" s="514"/>
      <c r="L295" s="514"/>
      <c r="M295" s="514"/>
      <c r="N295" s="514"/>
      <c r="O295" s="514"/>
      <c r="P295" s="514"/>
      <c r="Q295" s="514"/>
      <c r="S295" s="15"/>
      <c r="U295" s="542">
        <v>226</v>
      </c>
      <c r="V295" s="831"/>
      <c r="W295" s="830"/>
      <c r="Y295" s="1009">
        <f t="shared" si="7"/>
        <v>0</v>
      </c>
      <c r="Z295" s="514"/>
      <c r="AA295" s="514"/>
      <c r="AB295" s="514"/>
      <c r="AC295" s="514"/>
      <c r="AD295" s="514"/>
      <c r="AE295" s="514"/>
      <c r="AF295" s="514"/>
      <c r="AG295" s="514"/>
      <c r="AH295" s="514"/>
      <c r="AI295" s="1010"/>
      <c r="AJ295" s="1010"/>
      <c r="AK295" s="1010"/>
      <c r="AL295" s="15"/>
    </row>
    <row r="296" spans="2:38">
      <c r="B296" s="542">
        <v>227</v>
      </c>
      <c r="C296" s="831"/>
      <c r="D296" s="830"/>
      <c r="F296" s="1008">
        <f t="shared" si="6"/>
        <v>0</v>
      </c>
      <c r="G296" s="514"/>
      <c r="H296" s="514"/>
      <c r="I296" s="514"/>
      <c r="J296" s="514"/>
      <c r="K296" s="514"/>
      <c r="L296" s="514"/>
      <c r="M296" s="514"/>
      <c r="N296" s="514"/>
      <c r="O296" s="514"/>
      <c r="P296" s="514"/>
      <c r="Q296" s="514"/>
      <c r="S296" s="15"/>
      <c r="U296" s="542">
        <v>227</v>
      </c>
      <c r="V296" s="831"/>
      <c r="W296" s="830"/>
      <c r="Y296" s="1009">
        <f t="shared" si="7"/>
        <v>0</v>
      </c>
      <c r="Z296" s="514"/>
      <c r="AA296" s="514"/>
      <c r="AB296" s="514"/>
      <c r="AC296" s="514"/>
      <c r="AD296" s="514"/>
      <c r="AE296" s="514"/>
      <c r="AF296" s="514"/>
      <c r="AG296" s="514"/>
      <c r="AH296" s="514"/>
      <c r="AI296" s="1010"/>
      <c r="AJ296" s="1010"/>
      <c r="AK296" s="1010"/>
      <c r="AL296" s="15"/>
    </row>
    <row r="297" spans="2:38">
      <c r="B297" s="542">
        <v>228</v>
      </c>
      <c r="C297" s="831"/>
      <c r="D297" s="830"/>
      <c r="F297" s="1008">
        <f t="shared" si="6"/>
        <v>0</v>
      </c>
      <c r="G297" s="514"/>
      <c r="H297" s="514"/>
      <c r="I297" s="514"/>
      <c r="J297" s="514"/>
      <c r="K297" s="514"/>
      <c r="L297" s="514"/>
      <c r="M297" s="514"/>
      <c r="N297" s="514"/>
      <c r="O297" s="514"/>
      <c r="P297" s="514"/>
      <c r="Q297" s="514"/>
      <c r="S297" s="15"/>
      <c r="U297" s="542">
        <v>228</v>
      </c>
      <c r="V297" s="831"/>
      <c r="W297" s="830"/>
      <c r="Y297" s="1009">
        <f t="shared" si="7"/>
        <v>0</v>
      </c>
      <c r="Z297" s="514"/>
      <c r="AA297" s="514"/>
      <c r="AB297" s="514"/>
      <c r="AC297" s="514"/>
      <c r="AD297" s="514"/>
      <c r="AE297" s="514"/>
      <c r="AF297" s="514"/>
      <c r="AG297" s="514"/>
      <c r="AH297" s="514"/>
      <c r="AI297" s="1010"/>
      <c r="AJ297" s="1010"/>
      <c r="AK297" s="1010"/>
      <c r="AL297" s="15"/>
    </row>
    <row r="298" spans="2:38">
      <c r="B298" s="542">
        <v>229</v>
      </c>
      <c r="C298" s="831"/>
      <c r="D298" s="830"/>
      <c r="F298" s="1008">
        <f t="shared" si="6"/>
        <v>0</v>
      </c>
      <c r="G298" s="514"/>
      <c r="H298" s="514"/>
      <c r="I298" s="514"/>
      <c r="J298" s="514"/>
      <c r="K298" s="514"/>
      <c r="L298" s="514"/>
      <c r="M298" s="514"/>
      <c r="N298" s="514"/>
      <c r="O298" s="514"/>
      <c r="P298" s="514"/>
      <c r="Q298" s="514"/>
      <c r="S298" s="15"/>
      <c r="U298" s="542">
        <v>229</v>
      </c>
      <c r="V298" s="831"/>
      <c r="W298" s="830"/>
      <c r="Y298" s="1009">
        <f t="shared" si="7"/>
        <v>0</v>
      </c>
      <c r="Z298" s="514"/>
      <c r="AA298" s="514"/>
      <c r="AB298" s="514"/>
      <c r="AC298" s="514"/>
      <c r="AD298" s="514"/>
      <c r="AE298" s="514"/>
      <c r="AF298" s="514"/>
      <c r="AG298" s="514"/>
      <c r="AH298" s="514"/>
      <c r="AI298" s="1010"/>
      <c r="AJ298" s="1010"/>
      <c r="AK298" s="1010"/>
      <c r="AL298" s="15"/>
    </row>
    <row r="299" spans="2:38">
      <c r="B299" s="542">
        <v>230</v>
      </c>
      <c r="C299" s="831"/>
      <c r="D299" s="830"/>
      <c r="F299" s="1008">
        <f t="shared" si="6"/>
        <v>0</v>
      </c>
      <c r="G299" s="514"/>
      <c r="H299" s="514"/>
      <c r="I299" s="514"/>
      <c r="J299" s="514"/>
      <c r="K299" s="514"/>
      <c r="L299" s="514"/>
      <c r="M299" s="514"/>
      <c r="N299" s="514"/>
      <c r="O299" s="514"/>
      <c r="P299" s="514"/>
      <c r="Q299" s="514"/>
      <c r="S299" s="15"/>
      <c r="U299" s="542">
        <v>230</v>
      </c>
      <c r="V299" s="831"/>
      <c r="W299" s="830"/>
      <c r="Y299" s="1009">
        <f t="shared" si="7"/>
        <v>0</v>
      </c>
      <c r="Z299" s="514"/>
      <c r="AA299" s="514"/>
      <c r="AB299" s="514"/>
      <c r="AC299" s="514"/>
      <c r="AD299" s="514"/>
      <c r="AE299" s="514"/>
      <c r="AF299" s="514"/>
      <c r="AG299" s="514"/>
      <c r="AH299" s="514"/>
      <c r="AI299" s="1010"/>
      <c r="AJ299" s="1010"/>
      <c r="AK299" s="1010"/>
      <c r="AL299" s="15"/>
    </row>
    <row r="300" spans="2:38">
      <c r="B300" s="542">
        <v>231</v>
      </c>
      <c r="C300" s="831"/>
      <c r="D300" s="830"/>
      <c r="F300" s="1008">
        <f t="shared" si="6"/>
        <v>0</v>
      </c>
      <c r="G300" s="514"/>
      <c r="H300" s="514"/>
      <c r="I300" s="514"/>
      <c r="J300" s="514"/>
      <c r="K300" s="514"/>
      <c r="L300" s="514"/>
      <c r="M300" s="514"/>
      <c r="N300" s="514"/>
      <c r="O300" s="514"/>
      <c r="P300" s="514"/>
      <c r="Q300" s="514"/>
      <c r="S300" s="15"/>
      <c r="U300" s="542">
        <v>231</v>
      </c>
      <c r="V300" s="831"/>
      <c r="W300" s="830"/>
      <c r="Y300" s="1009">
        <f t="shared" si="7"/>
        <v>0</v>
      </c>
      <c r="Z300" s="514"/>
      <c r="AA300" s="514"/>
      <c r="AB300" s="514"/>
      <c r="AC300" s="514"/>
      <c r="AD300" s="514"/>
      <c r="AE300" s="514"/>
      <c r="AF300" s="514"/>
      <c r="AG300" s="514"/>
      <c r="AH300" s="514"/>
      <c r="AI300" s="1010"/>
      <c r="AJ300" s="1010"/>
      <c r="AK300" s="1010"/>
      <c r="AL300" s="15"/>
    </row>
    <row r="301" spans="2:38">
      <c r="B301" s="542">
        <v>232</v>
      </c>
      <c r="C301" s="831"/>
      <c r="D301" s="830"/>
      <c r="F301" s="1008">
        <f t="shared" si="6"/>
        <v>0</v>
      </c>
      <c r="G301" s="514"/>
      <c r="H301" s="514"/>
      <c r="I301" s="514"/>
      <c r="J301" s="514"/>
      <c r="K301" s="514"/>
      <c r="L301" s="514"/>
      <c r="M301" s="514"/>
      <c r="N301" s="514"/>
      <c r="O301" s="514"/>
      <c r="P301" s="514"/>
      <c r="Q301" s="514"/>
      <c r="S301" s="15"/>
      <c r="U301" s="542">
        <v>232</v>
      </c>
      <c r="V301" s="831"/>
      <c r="W301" s="830"/>
      <c r="Y301" s="1009">
        <f t="shared" si="7"/>
        <v>0</v>
      </c>
      <c r="Z301" s="514"/>
      <c r="AA301" s="514"/>
      <c r="AB301" s="514"/>
      <c r="AC301" s="514"/>
      <c r="AD301" s="514"/>
      <c r="AE301" s="514"/>
      <c r="AF301" s="514"/>
      <c r="AG301" s="514"/>
      <c r="AH301" s="514"/>
      <c r="AI301" s="1010"/>
      <c r="AJ301" s="1010"/>
      <c r="AK301" s="1010"/>
      <c r="AL301" s="15"/>
    </row>
    <row r="302" spans="2:38">
      <c r="B302" s="542">
        <v>233</v>
      </c>
      <c r="C302" s="831"/>
      <c r="D302" s="830"/>
      <c r="F302" s="1008">
        <f t="shared" si="6"/>
        <v>0</v>
      </c>
      <c r="G302" s="514"/>
      <c r="H302" s="514"/>
      <c r="I302" s="514"/>
      <c r="J302" s="514"/>
      <c r="K302" s="514"/>
      <c r="L302" s="514"/>
      <c r="M302" s="514"/>
      <c r="N302" s="514"/>
      <c r="O302" s="514"/>
      <c r="P302" s="514"/>
      <c r="Q302" s="514"/>
      <c r="S302" s="15"/>
      <c r="U302" s="542">
        <v>233</v>
      </c>
      <c r="V302" s="831"/>
      <c r="W302" s="830"/>
      <c r="Y302" s="1009">
        <f t="shared" si="7"/>
        <v>0</v>
      </c>
      <c r="Z302" s="514"/>
      <c r="AA302" s="514"/>
      <c r="AB302" s="514"/>
      <c r="AC302" s="514"/>
      <c r="AD302" s="514"/>
      <c r="AE302" s="514"/>
      <c r="AF302" s="514"/>
      <c r="AG302" s="514"/>
      <c r="AH302" s="514"/>
      <c r="AI302" s="1010"/>
      <c r="AJ302" s="1010"/>
      <c r="AK302" s="1010"/>
      <c r="AL302" s="15"/>
    </row>
    <row r="303" spans="2:38">
      <c r="B303" s="542">
        <v>234</v>
      </c>
      <c r="C303" s="831"/>
      <c r="D303" s="830"/>
      <c r="F303" s="1008">
        <f t="shared" si="6"/>
        <v>0</v>
      </c>
      <c r="G303" s="514"/>
      <c r="H303" s="514"/>
      <c r="I303" s="514"/>
      <c r="J303" s="514"/>
      <c r="K303" s="514"/>
      <c r="L303" s="514"/>
      <c r="M303" s="514"/>
      <c r="N303" s="514"/>
      <c r="O303" s="514"/>
      <c r="P303" s="514"/>
      <c r="Q303" s="514"/>
      <c r="S303" s="15"/>
      <c r="U303" s="542">
        <v>234</v>
      </c>
      <c r="V303" s="831"/>
      <c r="W303" s="830"/>
      <c r="Y303" s="1009">
        <f t="shared" si="7"/>
        <v>0</v>
      </c>
      <c r="Z303" s="514"/>
      <c r="AA303" s="514"/>
      <c r="AB303" s="514"/>
      <c r="AC303" s="514"/>
      <c r="AD303" s="514"/>
      <c r="AE303" s="514"/>
      <c r="AF303" s="514"/>
      <c r="AG303" s="514"/>
      <c r="AH303" s="514"/>
      <c r="AI303" s="1010"/>
      <c r="AJ303" s="1010"/>
      <c r="AK303" s="1010"/>
      <c r="AL303" s="15"/>
    </row>
    <row r="304" spans="2:38">
      <c r="B304" s="542">
        <v>235</v>
      </c>
      <c r="C304" s="831"/>
      <c r="D304" s="830"/>
      <c r="F304" s="1008">
        <f t="shared" si="6"/>
        <v>0</v>
      </c>
      <c r="G304" s="514"/>
      <c r="H304" s="514"/>
      <c r="I304" s="514"/>
      <c r="J304" s="514"/>
      <c r="K304" s="514"/>
      <c r="L304" s="514"/>
      <c r="M304" s="514"/>
      <c r="N304" s="514"/>
      <c r="O304" s="514"/>
      <c r="P304" s="514"/>
      <c r="Q304" s="514"/>
      <c r="S304" s="15"/>
      <c r="U304" s="542">
        <v>235</v>
      </c>
      <c r="V304" s="831"/>
      <c r="W304" s="830"/>
      <c r="Y304" s="1009">
        <f t="shared" si="7"/>
        <v>0</v>
      </c>
      <c r="Z304" s="514"/>
      <c r="AA304" s="514"/>
      <c r="AB304" s="514"/>
      <c r="AC304" s="514"/>
      <c r="AD304" s="514"/>
      <c r="AE304" s="514"/>
      <c r="AF304" s="514"/>
      <c r="AG304" s="514"/>
      <c r="AH304" s="514"/>
      <c r="AI304" s="1010"/>
      <c r="AJ304" s="1010"/>
      <c r="AK304" s="1010"/>
      <c r="AL304" s="15"/>
    </row>
    <row r="305" spans="2:38">
      <c r="B305" s="542">
        <v>236</v>
      </c>
      <c r="C305" s="831"/>
      <c r="D305" s="830"/>
      <c r="F305" s="1008">
        <f t="shared" si="6"/>
        <v>0</v>
      </c>
      <c r="G305" s="514"/>
      <c r="H305" s="514"/>
      <c r="I305" s="514"/>
      <c r="J305" s="514"/>
      <c r="K305" s="514"/>
      <c r="L305" s="514"/>
      <c r="M305" s="514"/>
      <c r="N305" s="514"/>
      <c r="O305" s="514"/>
      <c r="P305" s="514"/>
      <c r="Q305" s="514"/>
      <c r="S305" s="15"/>
      <c r="U305" s="542">
        <v>236</v>
      </c>
      <c r="V305" s="831"/>
      <c r="W305" s="830"/>
      <c r="Y305" s="1009">
        <f t="shared" si="7"/>
        <v>0</v>
      </c>
      <c r="Z305" s="514"/>
      <c r="AA305" s="514"/>
      <c r="AB305" s="514"/>
      <c r="AC305" s="514"/>
      <c r="AD305" s="514"/>
      <c r="AE305" s="514"/>
      <c r="AF305" s="514"/>
      <c r="AG305" s="514"/>
      <c r="AH305" s="514"/>
      <c r="AI305" s="1010"/>
      <c r="AJ305" s="1010"/>
      <c r="AK305" s="1010"/>
      <c r="AL305" s="15"/>
    </row>
    <row r="306" spans="2:38">
      <c r="B306" s="542">
        <v>237</v>
      </c>
      <c r="C306" s="831"/>
      <c r="D306" s="830"/>
      <c r="F306" s="1008">
        <f t="shared" si="6"/>
        <v>0</v>
      </c>
      <c r="G306" s="514"/>
      <c r="H306" s="514"/>
      <c r="I306" s="514"/>
      <c r="J306" s="514"/>
      <c r="K306" s="514"/>
      <c r="L306" s="514"/>
      <c r="M306" s="514"/>
      <c r="N306" s="514"/>
      <c r="O306" s="514"/>
      <c r="P306" s="514"/>
      <c r="Q306" s="514"/>
      <c r="S306" s="15"/>
      <c r="U306" s="542">
        <v>237</v>
      </c>
      <c r="V306" s="831"/>
      <c r="W306" s="830"/>
      <c r="Y306" s="1009">
        <f t="shared" si="7"/>
        <v>0</v>
      </c>
      <c r="Z306" s="514"/>
      <c r="AA306" s="514"/>
      <c r="AB306" s="514"/>
      <c r="AC306" s="514"/>
      <c r="AD306" s="514"/>
      <c r="AE306" s="514"/>
      <c r="AF306" s="514"/>
      <c r="AG306" s="514"/>
      <c r="AH306" s="514"/>
      <c r="AI306" s="1010"/>
      <c r="AJ306" s="1010"/>
      <c r="AK306" s="1010"/>
      <c r="AL306" s="15"/>
    </row>
    <row r="307" spans="2:38">
      <c r="B307" s="542">
        <v>238</v>
      </c>
      <c r="C307" s="831"/>
      <c r="D307" s="830"/>
      <c r="F307" s="1008">
        <f t="shared" si="6"/>
        <v>0</v>
      </c>
      <c r="G307" s="514"/>
      <c r="H307" s="514"/>
      <c r="I307" s="514"/>
      <c r="J307" s="514"/>
      <c r="K307" s="514"/>
      <c r="L307" s="514"/>
      <c r="M307" s="514"/>
      <c r="N307" s="514"/>
      <c r="O307" s="514"/>
      <c r="P307" s="514"/>
      <c r="Q307" s="514"/>
      <c r="S307" s="15"/>
      <c r="U307" s="542">
        <v>238</v>
      </c>
      <c r="V307" s="831"/>
      <c r="W307" s="830"/>
      <c r="Y307" s="1009">
        <f t="shared" si="7"/>
        <v>0</v>
      </c>
      <c r="Z307" s="514"/>
      <c r="AA307" s="514"/>
      <c r="AB307" s="514"/>
      <c r="AC307" s="514"/>
      <c r="AD307" s="514"/>
      <c r="AE307" s="514"/>
      <c r="AF307" s="514"/>
      <c r="AG307" s="514"/>
      <c r="AH307" s="514"/>
      <c r="AI307" s="1010"/>
      <c r="AJ307" s="1010"/>
      <c r="AK307" s="1010"/>
      <c r="AL307" s="15"/>
    </row>
    <row r="308" spans="2:38">
      <c r="B308" s="542">
        <v>239</v>
      </c>
      <c r="C308" s="831"/>
      <c r="D308" s="830"/>
      <c r="F308" s="1008">
        <f t="shared" si="6"/>
        <v>0</v>
      </c>
      <c r="G308" s="514"/>
      <c r="H308" s="514"/>
      <c r="I308" s="514"/>
      <c r="J308" s="514"/>
      <c r="K308" s="514"/>
      <c r="L308" s="514"/>
      <c r="M308" s="514"/>
      <c r="N308" s="514"/>
      <c r="O308" s="514"/>
      <c r="P308" s="514"/>
      <c r="Q308" s="514"/>
      <c r="S308" s="15"/>
      <c r="U308" s="542">
        <v>239</v>
      </c>
      <c r="V308" s="831"/>
      <c r="W308" s="830"/>
      <c r="Y308" s="1009">
        <f t="shared" si="7"/>
        <v>0</v>
      </c>
      <c r="Z308" s="514"/>
      <c r="AA308" s="514"/>
      <c r="AB308" s="514"/>
      <c r="AC308" s="514"/>
      <c r="AD308" s="514"/>
      <c r="AE308" s="514"/>
      <c r="AF308" s="514"/>
      <c r="AG308" s="514"/>
      <c r="AH308" s="514"/>
      <c r="AI308" s="1010"/>
      <c r="AJ308" s="1010"/>
      <c r="AK308" s="1010"/>
      <c r="AL308" s="15"/>
    </row>
    <row r="309" spans="2:38">
      <c r="B309" s="542">
        <v>240</v>
      </c>
      <c r="C309" s="831"/>
      <c r="D309" s="830"/>
      <c r="F309" s="1008">
        <f t="shared" si="6"/>
        <v>0</v>
      </c>
      <c r="G309" s="514"/>
      <c r="H309" s="514"/>
      <c r="I309" s="514"/>
      <c r="J309" s="514"/>
      <c r="K309" s="514"/>
      <c r="L309" s="514"/>
      <c r="M309" s="514"/>
      <c r="N309" s="514"/>
      <c r="O309" s="514"/>
      <c r="P309" s="514"/>
      <c r="Q309" s="514"/>
      <c r="S309" s="15"/>
      <c r="U309" s="542">
        <v>240</v>
      </c>
      <c r="V309" s="831"/>
      <c r="W309" s="830"/>
      <c r="Y309" s="1009">
        <f t="shared" si="7"/>
        <v>0</v>
      </c>
      <c r="Z309" s="514"/>
      <c r="AA309" s="514"/>
      <c r="AB309" s="514"/>
      <c r="AC309" s="514"/>
      <c r="AD309" s="514"/>
      <c r="AE309" s="514"/>
      <c r="AF309" s="514"/>
      <c r="AG309" s="514"/>
      <c r="AH309" s="514"/>
      <c r="AI309" s="1010"/>
      <c r="AJ309" s="1010"/>
      <c r="AK309" s="1010"/>
      <c r="AL309" s="15"/>
    </row>
    <row r="310" spans="2:38">
      <c r="B310" s="542">
        <v>241</v>
      </c>
      <c r="C310" s="831"/>
      <c r="D310" s="830"/>
      <c r="F310" s="1008">
        <f t="shared" si="6"/>
        <v>0</v>
      </c>
      <c r="G310" s="514"/>
      <c r="H310" s="514"/>
      <c r="I310" s="514"/>
      <c r="J310" s="514"/>
      <c r="K310" s="514"/>
      <c r="L310" s="514"/>
      <c r="M310" s="514"/>
      <c r="N310" s="514"/>
      <c r="O310" s="514"/>
      <c r="P310" s="514"/>
      <c r="Q310" s="514"/>
      <c r="S310" s="15"/>
      <c r="U310" s="542">
        <v>241</v>
      </c>
      <c r="V310" s="831"/>
      <c r="W310" s="830"/>
      <c r="Y310" s="1009">
        <f t="shared" si="7"/>
        <v>0</v>
      </c>
      <c r="Z310" s="514"/>
      <c r="AA310" s="514"/>
      <c r="AB310" s="514"/>
      <c r="AC310" s="514"/>
      <c r="AD310" s="514"/>
      <c r="AE310" s="514"/>
      <c r="AF310" s="514"/>
      <c r="AG310" s="514"/>
      <c r="AH310" s="514"/>
      <c r="AI310" s="1010"/>
      <c r="AJ310" s="1010"/>
      <c r="AK310" s="1010"/>
      <c r="AL310" s="15"/>
    </row>
    <row r="311" spans="2:38">
      <c r="B311" s="542">
        <v>242</v>
      </c>
      <c r="C311" s="831"/>
      <c r="D311" s="830"/>
      <c r="F311" s="1008">
        <f t="shared" si="6"/>
        <v>0</v>
      </c>
      <c r="G311" s="514"/>
      <c r="H311" s="514"/>
      <c r="I311" s="514"/>
      <c r="J311" s="514"/>
      <c r="K311" s="514"/>
      <c r="L311" s="514"/>
      <c r="M311" s="514"/>
      <c r="N311" s="514"/>
      <c r="O311" s="514"/>
      <c r="P311" s="514"/>
      <c r="Q311" s="514"/>
      <c r="S311" s="15"/>
      <c r="U311" s="542">
        <v>242</v>
      </c>
      <c r="V311" s="831"/>
      <c r="W311" s="830"/>
      <c r="Y311" s="1009">
        <f t="shared" si="7"/>
        <v>0</v>
      </c>
      <c r="Z311" s="514"/>
      <c r="AA311" s="514"/>
      <c r="AB311" s="514"/>
      <c r="AC311" s="514"/>
      <c r="AD311" s="514"/>
      <c r="AE311" s="514"/>
      <c r="AF311" s="514"/>
      <c r="AG311" s="514"/>
      <c r="AH311" s="514"/>
      <c r="AI311" s="1010"/>
      <c r="AJ311" s="1010"/>
      <c r="AK311" s="1010"/>
      <c r="AL311" s="15"/>
    </row>
    <row r="312" spans="2:38">
      <c r="B312" s="542">
        <v>243</v>
      </c>
      <c r="C312" s="831"/>
      <c r="D312" s="830"/>
      <c r="F312" s="1008">
        <f t="shared" si="6"/>
        <v>0</v>
      </c>
      <c r="G312" s="514"/>
      <c r="H312" s="514"/>
      <c r="I312" s="514"/>
      <c r="J312" s="514"/>
      <c r="K312" s="514"/>
      <c r="L312" s="514"/>
      <c r="M312" s="514"/>
      <c r="N312" s="514"/>
      <c r="O312" s="514"/>
      <c r="P312" s="514"/>
      <c r="Q312" s="514"/>
      <c r="S312" s="15"/>
      <c r="U312" s="542">
        <v>243</v>
      </c>
      <c r="V312" s="831"/>
      <c r="W312" s="830"/>
      <c r="Y312" s="1009">
        <f t="shared" si="7"/>
        <v>0</v>
      </c>
      <c r="Z312" s="514"/>
      <c r="AA312" s="514"/>
      <c r="AB312" s="514"/>
      <c r="AC312" s="514"/>
      <c r="AD312" s="514"/>
      <c r="AE312" s="514"/>
      <c r="AF312" s="514"/>
      <c r="AG312" s="514"/>
      <c r="AH312" s="514"/>
      <c r="AI312" s="1010"/>
      <c r="AJ312" s="1010"/>
      <c r="AK312" s="1010"/>
      <c r="AL312" s="15"/>
    </row>
    <row r="313" spans="2:38">
      <c r="B313" s="542">
        <v>244</v>
      </c>
      <c r="C313" s="831"/>
      <c r="D313" s="830"/>
      <c r="F313" s="1008">
        <f t="shared" si="6"/>
        <v>0</v>
      </c>
      <c r="G313" s="514"/>
      <c r="H313" s="514"/>
      <c r="I313" s="514"/>
      <c r="J313" s="514"/>
      <c r="K313" s="514"/>
      <c r="L313" s="514"/>
      <c r="M313" s="514"/>
      <c r="N313" s="514"/>
      <c r="O313" s="514"/>
      <c r="P313" s="514"/>
      <c r="Q313" s="514"/>
      <c r="S313" s="15"/>
      <c r="U313" s="542">
        <v>244</v>
      </c>
      <c r="V313" s="831"/>
      <c r="W313" s="830"/>
      <c r="Y313" s="1009">
        <f t="shared" si="7"/>
        <v>0</v>
      </c>
      <c r="Z313" s="514"/>
      <c r="AA313" s="514"/>
      <c r="AB313" s="514"/>
      <c r="AC313" s="514"/>
      <c r="AD313" s="514"/>
      <c r="AE313" s="514"/>
      <c r="AF313" s="514"/>
      <c r="AG313" s="514"/>
      <c r="AH313" s="514"/>
      <c r="AI313" s="1010"/>
      <c r="AJ313" s="1010"/>
      <c r="AK313" s="1010"/>
      <c r="AL313" s="15"/>
    </row>
    <row r="314" spans="2:38">
      <c r="B314" s="542">
        <v>245</v>
      </c>
      <c r="C314" s="831"/>
      <c r="D314" s="830"/>
      <c r="F314" s="1008">
        <f t="shared" si="6"/>
        <v>0</v>
      </c>
      <c r="G314" s="514"/>
      <c r="H314" s="514"/>
      <c r="I314" s="514"/>
      <c r="J314" s="514"/>
      <c r="K314" s="514"/>
      <c r="L314" s="514"/>
      <c r="M314" s="514"/>
      <c r="N314" s="514"/>
      <c r="O314" s="514"/>
      <c r="P314" s="514"/>
      <c r="Q314" s="514"/>
      <c r="S314" s="15"/>
      <c r="U314" s="542">
        <v>245</v>
      </c>
      <c r="V314" s="831"/>
      <c r="W314" s="830"/>
      <c r="Y314" s="1009">
        <f t="shared" si="7"/>
        <v>0</v>
      </c>
      <c r="Z314" s="514"/>
      <c r="AA314" s="514"/>
      <c r="AB314" s="514"/>
      <c r="AC314" s="514"/>
      <c r="AD314" s="514"/>
      <c r="AE314" s="514"/>
      <c r="AF314" s="514"/>
      <c r="AG314" s="514"/>
      <c r="AH314" s="514"/>
      <c r="AI314" s="1010"/>
      <c r="AJ314" s="1010"/>
      <c r="AK314" s="1010"/>
      <c r="AL314" s="15"/>
    </row>
    <row r="315" spans="2:38">
      <c r="B315" s="542">
        <v>246</v>
      </c>
      <c r="C315" s="831"/>
      <c r="D315" s="830"/>
      <c r="F315" s="1008">
        <f t="shared" si="6"/>
        <v>0</v>
      </c>
      <c r="G315" s="514"/>
      <c r="H315" s="514"/>
      <c r="I315" s="514"/>
      <c r="J315" s="514"/>
      <c r="K315" s="514"/>
      <c r="L315" s="514"/>
      <c r="M315" s="514"/>
      <c r="N315" s="514"/>
      <c r="O315" s="514"/>
      <c r="P315" s="514"/>
      <c r="Q315" s="514"/>
      <c r="S315" s="15"/>
      <c r="U315" s="542">
        <v>246</v>
      </c>
      <c r="V315" s="831"/>
      <c r="W315" s="830"/>
      <c r="Y315" s="1009">
        <f t="shared" si="7"/>
        <v>0</v>
      </c>
      <c r="Z315" s="514"/>
      <c r="AA315" s="514"/>
      <c r="AB315" s="514"/>
      <c r="AC315" s="514"/>
      <c r="AD315" s="514"/>
      <c r="AE315" s="514"/>
      <c r="AF315" s="514"/>
      <c r="AG315" s="514"/>
      <c r="AH315" s="514"/>
      <c r="AI315" s="1010"/>
      <c r="AJ315" s="1010"/>
      <c r="AK315" s="1010"/>
      <c r="AL315" s="15"/>
    </row>
    <row r="316" spans="2:38">
      <c r="B316" s="542">
        <v>247</v>
      </c>
      <c r="C316" s="831"/>
      <c r="D316" s="830"/>
      <c r="F316" s="1008">
        <f t="shared" si="6"/>
        <v>0</v>
      </c>
      <c r="G316" s="514"/>
      <c r="H316" s="514"/>
      <c r="I316" s="514"/>
      <c r="J316" s="514"/>
      <c r="K316" s="514"/>
      <c r="L316" s="514"/>
      <c r="M316" s="514"/>
      <c r="N316" s="514"/>
      <c r="O316" s="514"/>
      <c r="P316" s="514"/>
      <c r="Q316" s="514"/>
      <c r="S316" s="15"/>
      <c r="U316" s="542">
        <v>247</v>
      </c>
      <c r="V316" s="831"/>
      <c r="W316" s="830"/>
      <c r="Y316" s="1009">
        <f t="shared" si="7"/>
        <v>0</v>
      </c>
      <c r="Z316" s="514"/>
      <c r="AA316" s="514"/>
      <c r="AB316" s="514"/>
      <c r="AC316" s="514"/>
      <c r="AD316" s="514"/>
      <c r="AE316" s="514"/>
      <c r="AF316" s="514"/>
      <c r="AG316" s="514"/>
      <c r="AH316" s="514"/>
      <c r="AI316" s="1010"/>
      <c r="AJ316" s="1010"/>
      <c r="AK316" s="1010"/>
      <c r="AL316" s="15"/>
    </row>
    <row r="317" spans="2:38">
      <c r="B317" s="542">
        <v>248</v>
      </c>
      <c r="C317" s="831"/>
      <c r="D317" s="830"/>
      <c r="F317" s="1008">
        <f t="shared" si="6"/>
        <v>0</v>
      </c>
      <c r="G317" s="514"/>
      <c r="H317" s="514"/>
      <c r="I317" s="514"/>
      <c r="J317" s="514"/>
      <c r="K317" s="514"/>
      <c r="L317" s="514"/>
      <c r="M317" s="514"/>
      <c r="N317" s="514"/>
      <c r="O317" s="514"/>
      <c r="P317" s="514"/>
      <c r="Q317" s="514"/>
      <c r="S317" s="15"/>
      <c r="U317" s="542">
        <v>248</v>
      </c>
      <c r="V317" s="831"/>
      <c r="W317" s="830"/>
      <c r="Y317" s="1009">
        <f t="shared" si="7"/>
        <v>0</v>
      </c>
      <c r="Z317" s="514"/>
      <c r="AA317" s="514"/>
      <c r="AB317" s="514"/>
      <c r="AC317" s="514"/>
      <c r="AD317" s="514"/>
      <c r="AE317" s="514"/>
      <c r="AF317" s="514"/>
      <c r="AG317" s="514"/>
      <c r="AH317" s="514"/>
      <c r="AI317" s="1010"/>
      <c r="AJ317" s="1010"/>
      <c r="AK317" s="1010"/>
      <c r="AL317" s="15"/>
    </row>
    <row r="318" spans="2:38">
      <c r="B318" s="542">
        <v>249</v>
      </c>
      <c r="C318" s="831"/>
      <c r="D318" s="830"/>
      <c r="F318" s="1008">
        <f t="shared" si="6"/>
        <v>0</v>
      </c>
      <c r="G318" s="514"/>
      <c r="H318" s="514"/>
      <c r="I318" s="514"/>
      <c r="J318" s="514"/>
      <c r="K318" s="514"/>
      <c r="L318" s="514"/>
      <c r="M318" s="514"/>
      <c r="N318" s="514"/>
      <c r="O318" s="514"/>
      <c r="P318" s="514"/>
      <c r="Q318" s="514"/>
      <c r="S318" s="15"/>
      <c r="U318" s="542">
        <v>249</v>
      </c>
      <c r="V318" s="831"/>
      <c r="W318" s="830"/>
      <c r="Y318" s="1009">
        <f t="shared" si="7"/>
        <v>0</v>
      </c>
      <c r="Z318" s="514"/>
      <c r="AA318" s="514"/>
      <c r="AB318" s="514"/>
      <c r="AC318" s="514"/>
      <c r="AD318" s="514"/>
      <c r="AE318" s="514"/>
      <c r="AF318" s="514"/>
      <c r="AG318" s="514"/>
      <c r="AH318" s="514"/>
      <c r="AI318" s="1010"/>
      <c r="AJ318" s="1010"/>
      <c r="AK318" s="1010"/>
      <c r="AL318" s="15"/>
    </row>
    <row r="319" spans="2:38">
      <c r="B319" s="542">
        <v>250</v>
      </c>
      <c r="C319" s="831"/>
      <c r="D319" s="830"/>
      <c r="F319" s="1008">
        <f t="shared" si="6"/>
        <v>0</v>
      </c>
      <c r="G319" s="514"/>
      <c r="H319" s="514"/>
      <c r="I319" s="514"/>
      <c r="J319" s="514"/>
      <c r="K319" s="514"/>
      <c r="L319" s="514"/>
      <c r="M319" s="514"/>
      <c r="N319" s="514"/>
      <c r="O319" s="514"/>
      <c r="P319" s="514"/>
      <c r="Q319" s="514"/>
      <c r="S319" s="15"/>
      <c r="U319" s="542">
        <v>250</v>
      </c>
      <c r="V319" s="831"/>
      <c r="W319" s="830"/>
      <c r="Y319" s="1009">
        <f t="shared" si="7"/>
        <v>0</v>
      </c>
      <c r="Z319" s="514"/>
      <c r="AA319" s="514"/>
      <c r="AB319" s="514"/>
      <c r="AC319" s="514"/>
      <c r="AD319" s="514"/>
      <c r="AE319" s="514"/>
      <c r="AF319" s="514"/>
      <c r="AG319" s="514"/>
      <c r="AH319" s="514"/>
      <c r="AI319" s="1010"/>
      <c r="AJ319" s="1010"/>
      <c r="AK319" s="1010"/>
      <c r="AL319" s="15"/>
    </row>
    <row r="320" spans="2:38">
      <c r="B320" s="542">
        <v>251</v>
      </c>
      <c r="C320" s="831"/>
      <c r="D320" s="830"/>
      <c r="F320" s="1008">
        <f t="shared" si="6"/>
        <v>0</v>
      </c>
      <c r="G320" s="514"/>
      <c r="H320" s="514"/>
      <c r="I320" s="514"/>
      <c r="J320" s="514"/>
      <c r="K320" s="514"/>
      <c r="L320" s="514"/>
      <c r="M320" s="514"/>
      <c r="N320" s="514"/>
      <c r="O320" s="514"/>
      <c r="P320" s="514"/>
      <c r="Q320" s="514"/>
      <c r="S320" s="15"/>
      <c r="U320" s="542">
        <v>251</v>
      </c>
      <c r="V320" s="831"/>
      <c r="W320" s="830"/>
      <c r="Y320" s="1009">
        <f t="shared" si="7"/>
        <v>0</v>
      </c>
      <c r="Z320" s="514"/>
      <c r="AA320" s="514"/>
      <c r="AB320" s="514"/>
      <c r="AC320" s="514"/>
      <c r="AD320" s="514"/>
      <c r="AE320" s="514"/>
      <c r="AF320" s="514"/>
      <c r="AG320" s="514"/>
      <c r="AH320" s="514"/>
      <c r="AI320" s="1010"/>
      <c r="AJ320" s="1010"/>
      <c r="AK320" s="1010"/>
      <c r="AL320" s="15"/>
    </row>
    <row r="321" spans="2:38">
      <c r="B321" s="542">
        <v>252</v>
      </c>
      <c r="C321" s="831"/>
      <c r="D321" s="830"/>
      <c r="F321" s="1008">
        <f t="shared" si="6"/>
        <v>0</v>
      </c>
      <c r="G321" s="514"/>
      <c r="H321" s="514"/>
      <c r="I321" s="514"/>
      <c r="J321" s="514"/>
      <c r="K321" s="514"/>
      <c r="L321" s="514"/>
      <c r="M321" s="514"/>
      <c r="N321" s="514"/>
      <c r="O321" s="514"/>
      <c r="P321" s="514"/>
      <c r="Q321" s="514"/>
      <c r="S321" s="15"/>
      <c r="U321" s="542">
        <v>252</v>
      </c>
      <c r="V321" s="831"/>
      <c r="W321" s="830"/>
      <c r="Y321" s="1009">
        <f t="shared" si="7"/>
        <v>0</v>
      </c>
      <c r="Z321" s="514"/>
      <c r="AA321" s="514"/>
      <c r="AB321" s="514"/>
      <c r="AC321" s="514"/>
      <c r="AD321" s="514"/>
      <c r="AE321" s="514"/>
      <c r="AF321" s="514"/>
      <c r="AG321" s="514"/>
      <c r="AH321" s="514"/>
      <c r="AI321" s="1010"/>
      <c r="AJ321" s="1010"/>
      <c r="AK321" s="1010"/>
      <c r="AL321" s="15"/>
    </row>
    <row r="322" spans="2:38">
      <c r="B322" s="542">
        <v>253</v>
      </c>
      <c r="C322" s="831"/>
      <c r="D322" s="830"/>
      <c r="F322" s="1008">
        <f t="shared" si="6"/>
        <v>0</v>
      </c>
      <c r="G322" s="514"/>
      <c r="H322" s="514"/>
      <c r="I322" s="514"/>
      <c r="J322" s="514"/>
      <c r="K322" s="514"/>
      <c r="L322" s="514"/>
      <c r="M322" s="514"/>
      <c r="N322" s="514"/>
      <c r="O322" s="514"/>
      <c r="P322" s="514"/>
      <c r="Q322" s="514"/>
      <c r="S322" s="15"/>
      <c r="U322" s="542">
        <v>253</v>
      </c>
      <c r="V322" s="831"/>
      <c r="W322" s="830"/>
      <c r="Y322" s="1009">
        <f t="shared" si="7"/>
        <v>0</v>
      </c>
      <c r="Z322" s="514"/>
      <c r="AA322" s="514"/>
      <c r="AB322" s="514"/>
      <c r="AC322" s="514"/>
      <c r="AD322" s="514"/>
      <c r="AE322" s="514"/>
      <c r="AF322" s="514"/>
      <c r="AG322" s="514"/>
      <c r="AH322" s="514"/>
      <c r="AI322" s="1010"/>
      <c r="AJ322" s="1010"/>
      <c r="AK322" s="1010"/>
      <c r="AL322" s="15"/>
    </row>
    <row r="323" spans="2:38">
      <c r="B323" s="542">
        <v>254</v>
      </c>
      <c r="C323" s="831"/>
      <c r="D323" s="830"/>
      <c r="F323" s="1008">
        <f t="shared" si="6"/>
        <v>0</v>
      </c>
      <c r="G323" s="514"/>
      <c r="H323" s="514"/>
      <c r="I323" s="514"/>
      <c r="J323" s="514"/>
      <c r="K323" s="514"/>
      <c r="L323" s="514"/>
      <c r="M323" s="514"/>
      <c r="N323" s="514"/>
      <c r="O323" s="514"/>
      <c r="P323" s="514"/>
      <c r="Q323" s="514"/>
      <c r="S323" s="15"/>
      <c r="U323" s="542">
        <v>254</v>
      </c>
      <c r="V323" s="831"/>
      <c r="W323" s="830"/>
      <c r="Y323" s="1009">
        <f t="shared" si="7"/>
        <v>0</v>
      </c>
      <c r="Z323" s="514"/>
      <c r="AA323" s="514"/>
      <c r="AB323" s="514"/>
      <c r="AC323" s="514"/>
      <c r="AD323" s="514"/>
      <c r="AE323" s="514"/>
      <c r="AF323" s="514"/>
      <c r="AG323" s="514"/>
      <c r="AH323" s="514"/>
      <c r="AI323" s="1010"/>
      <c r="AJ323" s="1010"/>
      <c r="AK323" s="1010"/>
      <c r="AL323" s="15"/>
    </row>
    <row r="324" spans="2:38">
      <c r="B324" s="542">
        <v>255</v>
      </c>
      <c r="C324" s="831"/>
      <c r="D324" s="830"/>
      <c r="F324" s="1008">
        <f t="shared" si="6"/>
        <v>0</v>
      </c>
      <c r="G324" s="514"/>
      <c r="H324" s="514"/>
      <c r="I324" s="514"/>
      <c r="J324" s="514"/>
      <c r="K324" s="514"/>
      <c r="L324" s="514"/>
      <c r="M324" s="514"/>
      <c r="N324" s="514"/>
      <c r="O324" s="514"/>
      <c r="P324" s="514"/>
      <c r="Q324" s="514"/>
      <c r="S324" s="15"/>
      <c r="U324" s="542">
        <v>255</v>
      </c>
      <c r="V324" s="831"/>
      <c r="W324" s="830"/>
      <c r="Y324" s="1009">
        <f t="shared" si="7"/>
        <v>0</v>
      </c>
      <c r="Z324" s="514"/>
      <c r="AA324" s="514"/>
      <c r="AB324" s="514"/>
      <c r="AC324" s="514"/>
      <c r="AD324" s="514"/>
      <c r="AE324" s="514"/>
      <c r="AF324" s="514"/>
      <c r="AG324" s="514"/>
      <c r="AH324" s="514"/>
      <c r="AI324" s="1010"/>
      <c r="AJ324" s="1010"/>
      <c r="AK324" s="1010"/>
      <c r="AL324" s="15"/>
    </row>
    <row r="325" spans="2:38">
      <c r="B325" s="542">
        <v>256</v>
      </c>
      <c r="C325" s="831"/>
      <c r="D325" s="830"/>
      <c r="F325" s="1008">
        <f t="shared" si="6"/>
        <v>0</v>
      </c>
      <c r="G325" s="514"/>
      <c r="H325" s="514"/>
      <c r="I325" s="514"/>
      <c r="J325" s="514"/>
      <c r="K325" s="514"/>
      <c r="L325" s="514"/>
      <c r="M325" s="514"/>
      <c r="N325" s="514"/>
      <c r="O325" s="514"/>
      <c r="P325" s="514"/>
      <c r="Q325" s="514"/>
      <c r="S325" s="15"/>
      <c r="U325" s="542">
        <v>256</v>
      </c>
      <c r="V325" s="831"/>
      <c r="W325" s="830"/>
      <c r="Y325" s="1009">
        <f t="shared" si="7"/>
        <v>0</v>
      </c>
      <c r="Z325" s="514"/>
      <c r="AA325" s="514"/>
      <c r="AB325" s="514"/>
      <c r="AC325" s="514"/>
      <c r="AD325" s="514"/>
      <c r="AE325" s="514"/>
      <c r="AF325" s="514"/>
      <c r="AG325" s="514"/>
      <c r="AH325" s="514"/>
      <c r="AI325" s="1010"/>
      <c r="AJ325" s="1010"/>
      <c r="AK325" s="1010"/>
      <c r="AL325" s="15"/>
    </row>
    <row r="326" spans="2:38">
      <c r="B326" s="542">
        <v>257</v>
      </c>
      <c r="C326" s="831"/>
      <c r="D326" s="830"/>
      <c r="F326" s="1008">
        <f t="shared" si="6"/>
        <v>0</v>
      </c>
      <c r="G326" s="514"/>
      <c r="H326" s="514"/>
      <c r="I326" s="514"/>
      <c r="J326" s="514"/>
      <c r="K326" s="514"/>
      <c r="L326" s="514"/>
      <c r="M326" s="514"/>
      <c r="N326" s="514"/>
      <c r="O326" s="514"/>
      <c r="P326" s="514"/>
      <c r="Q326" s="514"/>
      <c r="S326" s="15"/>
      <c r="U326" s="542">
        <v>257</v>
      </c>
      <c r="V326" s="831"/>
      <c r="W326" s="830"/>
      <c r="Y326" s="1009">
        <f t="shared" si="7"/>
        <v>0</v>
      </c>
      <c r="Z326" s="514"/>
      <c r="AA326" s="514"/>
      <c r="AB326" s="514"/>
      <c r="AC326" s="514"/>
      <c r="AD326" s="514"/>
      <c r="AE326" s="514"/>
      <c r="AF326" s="514"/>
      <c r="AG326" s="514"/>
      <c r="AH326" s="514"/>
      <c r="AI326" s="1010"/>
      <c r="AJ326" s="1010"/>
      <c r="AK326" s="1010"/>
      <c r="AL326" s="15"/>
    </row>
    <row r="327" spans="2:38">
      <c r="B327" s="542">
        <v>258</v>
      </c>
      <c r="C327" s="831"/>
      <c r="D327" s="830"/>
      <c r="F327" s="1008">
        <f t="shared" si="6"/>
        <v>0</v>
      </c>
      <c r="G327" s="514"/>
      <c r="H327" s="514"/>
      <c r="I327" s="514"/>
      <c r="J327" s="514"/>
      <c r="K327" s="514"/>
      <c r="L327" s="514"/>
      <c r="M327" s="514"/>
      <c r="N327" s="514"/>
      <c r="O327" s="514"/>
      <c r="P327" s="514"/>
      <c r="Q327" s="514"/>
      <c r="S327" s="15"/>
      <c r="U327" s="542">
        <v>258</v>
      </c>
      <c r="V327" s="831"/>
      <c r="W327" s="830"/>
      <c r="Y327" s="1009">
        <f t="shared" si="7"/>
        <v>0</v>
      </c>
      <c r="Z327" s="514"/>
      <c r="AA327" s="514"/>
      <c r="AB327" s="514"/>
      <c r="AC327" s="514"/>
      <c r="AD327" s="514"/>
      <c r="AE327" s="514"/>
      <c r="AF327" s="514"/>
      <c r="AG327" s="514"/>
      <c r="AH327" s="514"/>
      <c r="AI327" s="1010"/>
      <c r="AJ327" s="1010"/>
      <c r="AK327" s="1010"/>
      <c r="AL327" s="15"/>
    </row>
    <row r="328" spans="2:38">
      <c r="B328" s="542">
        <v>259</v>
      </c>
      <c r="C328" s="831"/>
      <c r="D328" s="830"/>
      <c r="F328" s="1008">
        <f t="shared" ref="F328:F369" si="8">D328-D327</f>
        <v>0</v>
      </c>
      <c r="G328" s="514"/>
      <c r="H328" s="514"/>
      <c r="I328" s="514"/>
      <c r="J328" s="514"/>
      <c r="K328" s="514"/>
      <c r="L328" s="514"/>
      <c r="M328" s="514"/>
      <c r="N328" s="514"/>
      <c r="O328" s="514"/>
      <c r="P328" s="514"/>
      <c r="Q328" s="514"/>
      <c r="S328" s="15"/>
      <c r="U328" s="542">
        <v>259</v>
      </c>
      <c r="V328" s="831"/>
      <c r="W328" s="830"/>
      <c r="Y328" s="1009">
        <f t="shared" ref="Y328:Y369" si="9">W328-W327</f>
        <v>0</v>
      </c>
      <c r="Z328" s="514"/>
      <c r="AA328" s="514"/>
      <c r="AB328" s="514"/>
      <c r="AC328" s="514"/>
      <c r="AD328" s="514"/>
      <c r="AE328" s="514"/>
      <c r="AF328" s="514"/>
      <c r="AG328" s="514"/>
      <c r="AH328" s="514"/>
      <c r="AI328" s="1010"/>
      <c r="AJ328" s="1010"/>
      <c r="AK328" s="1010"/>
      <c r="AL328" s="15"/>
    </row>
    <row r="329" spans="2:38">
      <c r="B329" s="542">
        <v>260</v>
      </c>
      <c r="C329" s="831"/>
      <c r="D329" s="830"/>
      <c r="F329" s="1008">
        <f t="shared" si="8"/>
        <v>0</v>
      </c>
      <c r="G329" s="514"/>
      <c r="H329" s="514"/>
      <c r="I329" s="514"/>
      <c r="J329" s="514"/>
      <c r="K329" s="514"/>
      <c r="L329" s="514"/>
      <c r="M329" s="514"/>
      <c r="N329" s="514"/>
      <c r="O329" s="514"/>
      <c r="P329" s="514"/>
      <c r="Q329" s="514"/>
      <c r="S329" s="15"/>
      <c r="U329" s="542">
        <v>260</v>
      </c>
      <c r="V329" s="831"/>
      <c r="W329" s="830"/>
      <c r="Y329" s="1009">
        <f t="shared" si="9"/>
        <v>0</v>
      </c>
      <c r="Z329" s="514"/>
      <c r="AA329" s="514"/>
      <c r="AB329" s="514"/>
      <c r="AC329" s="514"/>
      <c r="AD329" s="514"/>
      <c r="AE329" s="514"/>
      <c r="AF329" s="514"/>
      <c r="AG329" s="514"/>
      <c r="AH329" s="514"/>
      <c r="AI329" s="1010"/>
      <c r="AJ329" s="1010"/>
      <c r="AK329" s="1010"/>
      <c r="AL329" s="15"/>
    </row>
    <row r="330" spans="2:38">
      <c r="B330" s="542">
        <v>261</v>
      </c>
      <c r="C330" s="831"/>
      <c r="D330" s="830"/>
      <c r="F330" s="1008">
        <f t="shared" si="8"/>
        <v>0</v>
      </c>
      <c r="G330" s="514"/>
      <c r="H330" s="514"/>
      <c r="I330" s="514"/>
      <c r="J330" s="514"/>
      <c r="K330" s="514"/>
      <c r="L330" s="514"/>
      <c r="M330" s="514"/>
      <c r="N330" s="514"/>
      <c r="O330" s="514"/>
      <c r="P330" s="514"/>
      <c r="Q330" s="514"/>
      <c r="S330" s="15"/>
      <c r="U330" s="542">
        <v>261</v>
      </c>
      <c r="V330" s="831"/>
      <c r="W330" s="830"/>
      <c r="Y330" s="1009">
        <f t="shared" si="9"/>
        <v>0</v>
      </c>
      <c r="Z330" s="514"/>
      <c r="AA330" s="514"/>
      <c r="AB330" s="514"/>
      <c r="AC330" s="514"/>
      <c r="AD330" s="514"/>
      <c r="AE330" s="514"/>
      <c r="AF330" s="514"/>
      <c r="AG330" s="514"/>
      <c r="AH330" s="514"/>
      <c r="AI330" s="1010"/>
      <c r="AJ330" s="1010"/>
      <c r="AK330" s="1010"/>
      <c r="AL330" s="15"/>
    </row>
    <row r="331" spans="2:38">
      <c r="B331" s="542">
        <v>262</v>
      </c>
      <c r="C331" s="831"/>
      <c r="D331" s="830"/>
      <c r="F331" s="1008">
        <f t="shared" si="8"/>
        <v>0</v>
      </c>
      <c r="G331" s="514"/>
      <c r="H331" s="514"/>
      <c r="I331" s="514"/>
      <c r="J331" s="514"/>
      <c r="K331" s="514"/>
      <c r="L331" s="514"/>
      <c r="M331" s="514"/>
      <c r="N331" s="514"/>
      <c r="O331" s="514"/>
      <c r="P331" s="514"/>
      <c r="Q331" s="514"/>
      <c r="S331" s="15"/>
      <c r="U331" s="542">
        <v>262</v>
      </c>
      <c r="V331" s="831"/>
      <c r="W331" s="830"/>
      <c r="Y331" s="1009">
        <f t="shared" si="9"/>
        <v>0</v>
      </c>
      <c r="Z331" s="514"/>
      <c r="AA331" s="514"/>
      <c r="AB331" s="514"/>
      <c r="AC331" s="514"/>
      <c r="AD331" s="514"/>
      <c r="AE331" s="514"/>
      <c r="AF331" s="514"/>
      <c r="AG331" s="514"/>
      <c r="AH331" s="514"/>
      <c r="AI331" s="1010"/>
      <c r="AJ331" s="1010"/>
      <c r="AK331" s="1010"/>
      <c r="AL331" s="15"/>
    </row>
    <row r="332" spans="2:38">
      <c r="B332" s="542">
        <v>263</v>
      </c>
      <c r="C332" s="831"/>
      <c r="D332" s="830"/>
      <c r="F332" s="1008">
        <f t="shared" si="8"/>
        <v>0</v>
      </c>
      <c r="G332" s="514"/>
      <c r="H332" s="514"/>
      <c r="I332" s="514"/>
      <c r="J332" s="514"/>
      <c r="K332" s="514"/>
      <c r="L332" s="514"/>
      <c r="M332" s="514"/>
      <c r="N332" s="514"/>
      <c r="O332" s="514"/>
      <c r="P332" s="514"/>
      <c r="Q332" s="514"/>
      <c r="S332" s="15"/>
      <c r="U332" s="542">
        <v>263</v>
      </c>
      <c r="V332" s="831"/>
      <c r="W332" s="830"/>
      <c r="Y332" s="1009">
        <f t="shared" si="9"/>
        <v>0</v>
      </c>
      <c r="Z332" s="514"/>
      <c r="AA332" s="514"/>
      <c r="AB332" s="514"/>
      <c r="AC332" s="514"/>
      <c r="AD332" s="514"/>
      <c r="AE332" s="514"/>
      <c r="AF332" s="514"/>
      <c r="AG332" s="514"/>
      <c r="AH332" s="514"/>
      <c r="AI332" s="1010"/>
      <c r="AJ332" s="1010"/>
      <c r="AK332" s="1010"/>
      <c r="AL332" s="15"/>
    </row>
    <row r="333" spans="2:38">
      <c r="B333" s="542">
        <v>264</v>
      </c>
      <c r="C333" s="831"/>
      <c r="D333" s="830"/>
      <c r="F333" s="1008">
        <f t="shared" si="8"/>
        <v>0</v>
      </c>
      <c r="G333" s="514"/>
      <c r="H333" s="514"/>
      <c r="I333" s="514"/>
      <c r="J333" s="514"/>
      <c r="K333" s="514"/>
      <c r="L333" s="514"/>
      <c r="M333" s="514"/>
      <c r="N333" s="514"/>
      <c r="O333" s="514"/>
      <c r="P333" s="514"/>
      <c r="Q333" s="514"/>
      <c r="S333" s="15"/>
      <c r="U333" s="542">
        <v>264</v>
      </c>
      <c r="V333" s="831"/>
      <c r="W333" s="830"/>
      <c r="Y333" s="1009">
        <f t="shared" si="9"/>
        <v>0</v>
      </c>
      <c r="Z333" s="514"/>
      <c r="AA333" s="514"/>
      <c r="AB333" s="514"/>
      <c r="AC333" s="514"/>
      <c r="AD333" s="514"/>
      <c r="AE333" s="514"/>
      <c r="AF333" s="514"/>
      <c r="AG333" s="514"/>
      <c r="AH333" s="514"/>
      <c r="AI333" s="1010"/>
      <c r="AJ333" s="1010"/>
      <c r="AK333" s="1010"/>
      <c r="AL333" s="15"/>
    </row>
    <row r="334" spans="2:38">
      <c r="B334" s="542">
        <v>265</v>
      </c>
      <c r="C334" s="831"/>
      <c r="D334" s="830"/>
      <c r="F334" s="1008">
        <f t="shared" si="8"/>
        <v>0</v>
      </c>
      <c r="G334" s="514"/>
      <c r="H334" s="514"/>
      <c r="I334" s="514"/>
      <c r="J334" s="514"/>
      <c r="K334" s="514"/>
      <c r="L334" s="514"/>
      <c r="M334" s="514"/>
      <c r="N334" s="514"/>
      <c r="O334" s="514"/>
      <c r="P334" s="514"/>
      <c r="Q334" s="514"/>
      <c r="S334" s="15"/>
      <c r="U334" s="542">
        <v>265</v>
      </c>
      <c r="V334" s="831"/>
      <c r="W334" s="830"/>
      <c r="Y334" s="1009">
        <f t="shared" si="9"/>
        <v>0</v>
      </c>
      <c r="Z334" s="514"/>
      <c r="AA334" s="514"/>
      <c r="AB334" s="514"/>
      <c r="AC334" s="514"/>
      <c r="AD334" s="514"/>
      <c r="AE334" s="514"/>
      <c r="AF334" s="514"/>
      <c r="AG334" s="514"/>
      <c r="AH334" s="514"/>
      <c r="AI334" s="1010"/>
      <c r="AJ334" s="1010"/>
      <c r="AK334" s="1010"/>
      <c r="AL334" s="15"/>
    </row>
    <row r="335" spans="2:38">
      <c r="B335" s="542">
        <v>266</v>
      </c>
      <c r="C335" s="831"/>
      <c r="D335" s="830"/>
      <c r="F335" s="1008">
        <f t="shared" si="8"/>
        <v>0</v>
      </c>
      <c r="G335" s="514"/>
      <c r="H335" s="514"/>
      <c r="I335" s="514"/>
      <c r="J335" s="514"/>
      <c r="K335" s="514"/>
      <c r="L335" s="514"/>
      <c r="M335" s="514"/>
      <c r="N335" s="514"/>
      <c r="O335" s="514"/>
      <c r="P335" s="514"/>
      <c r="Q335" s="514"/>
      <c r="S335" s="15"/>
      <c r="U335" s="542">
        <v>266</v>
      </c>
      <c r="V335" s="831"/>
      <c r="W335" s="830"/>
      <c r="Y335" s="1009">
        <f t="shared" si="9"/>
        <v>0</v>
      </c>
      <c r="Z335" s="514"/>
      <c r="AA335" s="514"/>
      <c r="AB335" s="514"/>
      <c r="AC335" s="514"/>
      <c r="AD335" s="514"/>
      <c r="AE335" s="514"/>
      <c r="AF335" s="514"/>
      <c r="AG335" s="514"/>
      <c r="AH335" s="514"/>
      <c r="AI335" s="1010"/>
      <c r="AJ335" s="1010"/>
      <c r="AK335" s="1010"/>
      <c r="AL335" s="15"/>
    </row>
    <row r="336" spans="2:38">
      <c r="B336" s="542">
        <v>267</v>
      </c>
      <c r="C336" s="831"/>
      <c r="D336" s="830"/>
      <c r="F336" s="1008">
        <f t="shared" si="8"/>
        <v>0</v>
      </c>
      <c r="G336" s="514"/>
      <c r="H336" s="514"/>
      <c r="I336" s="514"/>
      <c r="J336" s="514"/>
      <c r="K336" s="514"/>
      <c r="L336" s="514"/>
      <c r="M336" s="514"/>
      <c r="N336" s="514"/>
      <c r="O336" s="514"/>
      <c r="P336" s="514"/>
      <c r="Q336" s="514"/>
      <c r="S336" s="15"/>
      <c r="U336" s="542">
        <v>267</v>
      </c>
      <c r="V336" s="831"/>
      <c r="W336" s="830"/>
      <c r="Y336" s="1009">
        <f t="shared" si="9"/>
        <v>0</v>
      </c>
      <c r="Z336" s="514"/>
      <c r="AA336" s="514"/>
      <c r="AB336" s="514"/>
      <c r="AC336" s="514"/>
      <c r="AD336" s="514"/>
      <c r="AE336" s="514"/>
      <c r="AF336" s="514"/>
      <c r="AG336" s="514"/>
      <c r="AH336" s="514"/>
      <c r="AI336" s="1010"/>
      <c r="AJ336" s="1010"/>
      <c r="AK336" s="1010"/>
      <c r="AL336" s="15"/>
    </row>
    <row r="337" spans="2:38">
      <c r="B337" s="542">
        <v>268</v>
      </c>
      <c r="C337" s="831"/>
      <c r="D337" s="830"/>
      <c r="F337" s="1008">
        <f t="shared" si="8"/>
        <v>0</v>
      </c>
      <c r="G337" s="514"/>
      <c r="H337" s="514"/>
      <c r="I337" s="514"/>
      <c r="J337" s="514"/>
      <c r="K337" s="514"/>
      <c r="L337" s="514"/>
      <c r="M337" s="514"/>
      <c r="N337" s="514"/>
      <c r="O337" s="514"/>
      <c r="P337" s="514"/>
      <c r="Q337" s="514"/>
      <c r="S337" s="15"/>
      <c r="U337" s="542">
        <v>268</v>
      </c>
      <c r="V337" s="831"/>
      <c r="W337" s="830"/>
      <c r="Y337" s="1009">
        <f t="shared" si="9"/>
        <v>0</v>
      </c>
      <c r="Z337" s="514"/>
      <c r="AA337" s="514"/>
      <c r="AB337" s="514"/>
      <c r="AC337" s="514"/>
      <c r="AD337" s="514"/>
      <c r="AE337" s="514"/>
      <c r="AF337" s="514"/>
      <c r="AG337" s="514"/>
      <c r="AH337" s="514"/>
      <c r="AI337" s="1010"/>
      <c r="AJ337" s="1010"/>
      <c r="AK337" s="1010"/>
      <c r="AL337" s="15"/>
    </row>
    <row r="338" spans="2:38">
      <c r="B338" s="542">
        <v>269</v>
      </c>
      <c r="C338" s="831"/>
      <c r="D338" s="830"/>
      <c r="F338" s="1008">
        <f t="shared" si="8"/>
        <v>0</v>
      </c>
      <c r="G338" s="514"/>
      <c r="H338" s="514"/>
      <c r="I338" s="514"/>
      <c r="J338" s="514"/>
      <c r="K338" s="514"/>
      <c r="L338" s="514"/>
      <c r="M338" s="514"/>
      <c r="N338" s="514"/>
      <c r="O338" s="514"/>
      <c r="P338" s="514"/>
      <c r="Q338" s="514"/>
      <c r="S338" s="15"/>
      <c r="U338" s="542">
        <v>269</v>
      </c>
      <c r="V338" s="831"/>
      <c r="W338" s="830"/>
      <c r="Y338" s="1009">
        <f t="shared" si="9"/>
        <v>0</v>
      </c>
      <c r="Z338" s="514"/>
      <c r="AA338" s="514"/>
      <c r="AB338" s="514"/>
      <c r="AC338" s="514"/>
      <c r="AD338" s="514"/>
      <c r="AE338" s="514"/>
      <c r="AF338" s="514"/>
      <c r="AG338" s="514"/>
      <c r="AH338" s="514"/>
      <c r="AI338" s="1010"/>
      <c r="AJ338" s="1010"/>
      <c r="AK338" s="1010"/>
      <c r="AL338" s="15"/>
    </row>
    <row r="339" spans="2:38">
      <c r="B339" s="542">
        <v>270</v>
      </c>
      <c r="C339" s="831"/>
      <c r="D339" s="830"/>
      <c r="F339" s="1008">
        <f t="shared" si="8"/>
        <v>0</v>
      </c>
      <c r="G339" s="514"/>
      <c r="H339" s="514"/>
      <c r="I339" s="514"/>
      <c r="J339" s="514"/>
      <c r="K339" s="514"/>
      <c r="L339" s="514"/>
      <c r="M339" s="514"/>
      <c r="N339" s="514"/>
      <c r="O339" s="514"/>
      <c r="P339" s="514"/>
      <c r="Q339" s="514"/>
      <c r="S339" s="15"/>
      <c r="U339" s="542">
        <v>270</v>
      </c>
      <c r="V339" s="831"/>
      <c r="W339" s="830"/>
      <c r="Y339" s="1009">
        <f t="shared" si="9"/>
        <v>0</v>
      </c>
      <c r="Z339" s="514"/>
      <c r="AA339" s="514"/>
      <c r="AB339" s="514"/>
      <c r="AC339" s="514"/>
      <c r="AD339" s="514"/>
      <c r="AE339" s="514"/>
      <c r="AF339" s="514"/>
      <c r="AG339" s="514"/>
      <c r="AH339" s="514"/>
      <c r="AI339" s="1010"/>
      <c r="AJ339" s="1010"/>
      <c r="AK339" s="1010"/>
      <c r="AL339" s="15"/>
    </row>
    <row r="340" spans="2:38">
      <c r="B340" s="542">
        <v>271</v>
      </c>
      <c r="C340" s="831"/>
      <c r="D340" s="830"/>
      <c r="F340" s="1008">
        <f t="shared" si="8"/>
        <v>0</v>
      </c>
      <c r="G340" s="514"/>
      <c r="H340" s="514"/>
      <c r="I340" s="514"/>
      <c r="J340" s="514"/>
      <c r="K340" s="514"/>
      <c r="L340" s="514"/>
      <c r="M340" s="514"/>
      <c r="N340" s="514"/>
      <c r="O340" s="514"/>
      <c r="P340" s="514"/>
      <c r="Q340" s="514"/>
      <c r="S340" s="15"/>
      <c r="U340" s="542">
        <v>271</v>
      </c>
      <c r="V340" s="831"/>
      <c r="W340" s="830"/>
      <c r="Y340" s="1009">
        <f t="shared" si="9"/>
        <v>0</v>
      </c>
      <c r="Z340" s="514"/>
      <c r="AA340" s="514"/>
      <c r="AB340" s="514"/>
      <c r="AC340" s="514"/>
      <c r="AD340" s="514"/>
      <c r="AE340" s="514"/>
      <c r="AF340" s="514"/>
      <c r="AG340" s="514"/>
      <c r="AH340" s="514"/>
      <c r="AI340" s="1010"/>
      <c r="AJ340" s="1010"/>
      <c r="AK340" s="1010"/>
      <c r="AL340" s="15"/>
    </row>
    <row r="341" spans="2:38">
      <c r="B341" s="542">
        <v>272</v>
      </c>
      <c r="C341" s="831"/>
      <c r="D341" s="830"/>
      <c r="F341" s="1008">
        <f t="shared" si="8"/>
        <v>0</v>
      </c>
      <c r="G341" s="514"/>
      <c r="H341" s="514"/>
      <c r="I341" s="514"/>
      <c r="J341" s="514"/>
      <c r="K341" s="514"/>
      <c r="L341" s="514"/>
      <c r="M341" s="514"/>
      <c r="N341" s="514"/>
      <c r="O341" s="514"/>
      <c r="P341" s="514"/>
      <c r="Q341" s="514"/>
      <c r="S341" s="15"/>
      <c r="U341" s="542">
        <v>272</v>
      </c>
      <c r="V341" s="831"/>
      <c r="W341" s="830"/>
      <c r="Y341" s="1009">
        <f t="shared" si="9"/>
        <v>0</v>
      </c>
      <c r="Z341" s="514"/>
      <c r="AA341" s="514"/>
      <c r="AB341" s="514"/>
      <c r="AC341" s="514"/>
      <c r="AD341" s="514"/>
      <c r="AE341" s="514"/>
      <c r="AF341" s="514"/>
      <c r="AG341" s="514"/>
      <c r="AH341" s="514"/>
      <c r="AI341" s="1010"/>
      <c r="AJ341" s="1010"/>
      <c r="AK341" s="1010"/>
      <c r="AL341" s="15"/>
    </row>
    <row r="342" spans="2:38">
      <c r="B342" s="542">
        <v>273</v>
      </c>
      <c r="C342" s="831"/>
      <c r="D342" s="830"/>
      <c r="F342" s="1008">
        <f t="shared" si="8"/>
        <v>0</v>
      </c>
      <c r="G342" s="514"/>
      <c r="H342" s="514"/>
      <c r="I342" s="514"/>
      <c r="J342" s="514"/>
      <c r="K342" s="514"/>
      <c r="L342" s="514"/>
      <c r="M342" s="514"/>
      <c r="N342" s="514"/>
      <c r="O342" s="514"/>
      <c r="P342" s="514"/>
      <c r="Q342" s="514"/>
      <c r="S342" s="15"/>
      <c r="U342" s="542">
        <v>273</v>
      </c>
      <c r="V342" s="831"/>
      <c r="W342" s="830"/>
      <c r="Y342" s="1009">
        <f t="shared" si="9"/>
        <v>0</v>
      </c>
      <c r="Z342" s="514"/>
      <c r="AA342" s="514"/>
      <c r="AB342" s="514"/>
      <c r="AC342" s="514"/>
      <c r="AD342" s="514"/>
      <c r="AE342" s="514"/>
      <c r="AF342" s="514"/>
      <c r="AG342" s="514"/>
      <c r="AH342" s="514"/>
      <c r="AI342" s="1010"/>
      <c r="AJ342" s="1010"/>
      <c r="AK342" s="1010"/>
      <c r="AL342" s="15"/>
    </row>
    <row r="343" spans="2:38">
      <c r="B343" s="542">
        <v>274</v>
      </c>
      <c r="C343" s="831"/>
      <c r="D343" s="830"/>
      <c r="F343" s="1008">
        <f t="shared" si="8"/>
        <v>0</v>
      </c>
      <c r="G343" s="514"/>
      <c r="H343" s="514"/>
      <c r="I343" s="514"/>
      <c r="J343" s="514"/>
      <c r="K343" s="514"/>
      <c r="L343" s="514"/>
      <c r="M343" s="514"/>
      <c r="N343" s="514"/>
      <c r="O343" s="514"/>
      <c r="P343" s="514"/>
      <c r="Q343" s="514"/>
      <c r="S343" s="15"/>
      <c r="U343" s="542">
        <v>274</v>
      </c>
      <c r="V343" s="831"/>
      <c r="W343" s="830"/>
      <c r="Y343" s="1009">
        <f t="shared" si="9"/>
        <v>0</v>
      </c>
      <c r="Z343" s="514"/>
      <c r="AA343" s="514"/>
      <c r="AB343" s="514"/>
      <c r="AC343" s="514"/>
      <c r="AD343" s="514"/>
      <c r="AE343" s="514"/>
      <c r="AF343" s="514"/>
      <c r="AG343" s="514"/>
      <c r="AH343" s="514"/>
      <c r="AI343" s="1010"/>
      <c r="AJ343" s="1010"/>
      <c r="AK343" s="1010"/>
      <c r="AL343" s="15"/>
    </row>
    <row r="344" spans="2:38">
      <c r="B344" s="542">
        <v>275</v>
      </c>
      <c r="C344" s="831"/>
      <c r="D344" s="830"/>
      <c r="F344" s="1008">
        <f t="shared" si="8"/>
        <v>0</v>
      </c>
      <c r="G344" s="514"/>
      <c r="H344" s="514"/>
      <c r="I344" s="514"/>
      <c r="J344" s="514"/>
      <c r="K344" s="514"/>
      <c r="L344" s="514"/>
      <c r="M344" s="514"/>
      <c r="N344" s="514"/>
      <c r="O344" s="514"/>
      <c r="P344" s="514"/>
      <c r="Q344" s="514"/>
      <c r="S344" s="15"/>
      <c r="U344" s="542">
        <v>275</v>
      </c>
      <c r="V344" s="831"/>
      <c r="W344" s="830"/>
      <c r="Y344" s="1009">
        <f t="shared" si="9"/>
        <v>0</v>
      </c>
      <c r="Z344" s="514"/>
      <c r="AA344" s="514"/>
      <c r="AB344" s="514"/>
      <c r="AC344" s="514"/>
      <c r="AD344" s="514"/>
      <c r="AE344" s="514"/>
      <c r="AF344" s="514"/>
      <c r="AG344" s="514"/>
      <c r="AH344" s="514"/>
      <c r="AI344" s="1010"/>
      <c r="AJ344" s="1010"/>
      <c r="AK344" s="1010"/>
      <c r="AL344" s="15"/>
    </row>
    <row r="345" spans="2:38">
      <c r="B345" s="542">
        <v>276</v>
      </c>
      <c r="C345" s="831"/>
      <c r="D345" s="830"/>
      <c r="F345" s="1008">
        <f t="shared" si="8"/>
        <v>0</v>
      </c>
      <c r="G345" s="514"/>
      <c r="H345" s="514"/>
      <c r="I345" s="514"/>
      <c r="J345" s="514"/>
      <c r="K345" s="514"/>
      <c r="L345" s="514"/>
      <c r="M345" s="514"/>
      <c r="N345" s="514"/>
      <c r="O345" s="514"/>
      <c r="P345" s="514"/>
      <c r="Q345" s="514"/>
      <c r="S345" s="15"/>
      <c r="U345" s="542">
        <v>276</v>
      </c>
      <c r="V345" s="831"/>
      <c r="W345" s="830"/>
      <c r="Y345" s="1009">
        <f t="shared" si="9"/>
        <v>0</v>
      </c>
      <c r="Z345" s="514"/>
      <c r="AA345" s="514"/>
      <c r="AB345" s="514"/>
      <c r="AC345" s="514"/>
      <c r="AD345" s="514"/>
      <c r="AE345" s="514"/>
      <c r="AF345" s="514"/>
      <c r="AG345" s="514"/>
      <c r="AH345" s="514"/>
      <c r="AI345" s="1010"/>
      <c r="AJ345" s="1010"/>
      <c r="AK345" s="1010"/>
      <c r="AL345" s="15"/>
    </row>
    <row r="346" spans="2:38">
      <c r="B346" s="542">
        <v>277</v>
      </c>
      <c r="C346" s="831"/>
      <c r="D346" s="830"/>
      <c r="F346" s="1008">
        <f t="shared" si="8"/>
        <v>0</v>
      </c>
      <c r="G346" s="514"/>
      <c r="H346" s="514"/>
      <c r="I346" s="514"/>
      <c r="J346" s="514"/>
      <c r="K346" s="514"/>
      <c r="L346" s="514"/>
      <c r="M346" s="514"/>
      <c r="N346" s="514"/>
      <c r="O346" s="514"/>
      <c r="P346" s="514"/>
      <c r="Q346" s="514"/>
      <c r="S346" s="15"/>
      <c r="U346" s="542">
        <v>277</v>
      </c>
      <c r="V346" s="831"/>
      <c r="W346" s="830"/>
      <c r="Y346" s="1009">
        <f t="shared" si="9"/>
        <v>0</v>
      </c>
      <c r="Z346" s="514"/>
      <c r="AA346" s="514"/>
      <c r="AB346" s="514"/>
      <c r="AC346" s="514"/>
      <c r="AD346" s="514"/>
      <c r="AE346" s="514"/>
      <c r="AF346" s="514"/>
      <c r="AG346" s="514"/>
      <c r="AH346" s="514"/>
      <c r="AI346" s="1010"/>
      <c r="AJ346" s="1010"/>
      <c r="AK346" s="1010"/>
      <c r="AL346" s="15"/>
    </row>
    <row r="347" spans="2:38">
      <c r="B347" s="542">
        <v>278</v>
      </c>
      <c r="C347" s="831"/>
      <c r="D347" s="830"/>
      <c r="F347" s="1008">
        <f t="shared" si="8"/>
        <v>0</v>
      </c>
      <c r="G347" s="514"/>
      <c r="H347" s="514"/>
      <c r="I347" s="514"/>
      <c r="J347" s="514"/>
      <c r="K347" s="514"/>
      <c r="L347" s="514"/>
      <c r="M347" s="514"/>
      <c r="N347" s="514"/>
      <c r="O347" s="514"/>
      <c r="P347" s="514"/>
      <c r="Q347" s="514"/>
      <c r="S347" s="15"/>
      <c r="U347" s="542">
        <v>278</v>
      </c>
      <c r="V347" s="831"/>
      <c r="W347" s="830"/>
      <c r="Y347" s="1009">
        <f t="shared" si="9"/>
        <v>0</v>
      </c>
      <c r="Z347" s="514"/>
      <c r="AA347" s="514"/>
      <c r="AB347" s="514"/>
      <c r="AC347" s="514"/>
      <c r="AD347" s="514"/>
      <c r="AE347" s="514"/>
      <c r="AF347" s="514"/>
      <c r="AG347" s="514"/>
      <c r="AH347" s="514"/>
      <c r="AI347" s="1010"/>
      <c r="AJ347" s="1010"/>
      <c r="AK347" s="1010"/>
      <c r="AL347" s="15"/>
    </row>
    <row r="348" spans="2:38">
      <c r="B348" s="542">
        <v>279</v>
      </c>
      <c r="C348" s="831"/>
      <c r="D348" s="830"/>
      <c r="F348" s="1008">
        <f t="shared" si="8"/>
        <v>0</v>
      </c>
      <c r="G348" s="514"/>
      <c r="H348" s="514"/>
      <c r="I348" s="514"/>
      <c r="J348" s="514"/>
      <c r="K348" s="514"/>
      <c r="L348" s="514"/>
      <c r="M348" s="514"/>
      <c r="N348" s="514"/>
      <c r="O348" s="514"/>
      <c r="P348" s="514"/>
      <c r="Q348" s="514"/>
      <c r="S348" s="15"/>
      <c r="U348" s="542">
        <v>279</v>
      </c>
      <c r="V348" s="831"/>
      <c r="W348" s="830"/>
      <c r="Y348" s="1009">
        <f t="shared" si="9"/>
        <v>0</v>
      </c>
      <c r="Z348" s="514"/>
      <c r="AA348" s="514"/>
      <c r="AB348" s="514"/>
      <c r="AC348" s="514"/>
      <c r="AD348" s="514"/>
      <c r="AE348" s="514"/>
      <c r="AF348" s="514"/>
      <c r="AG348" s="514"/>
      <c r="AH348" s="514"/>
      <c r="AI348" s="1010"/>
      <c r="AJ348" s="1010"/>
      <c r="AK348" s="1010"/>
      <c r="AL348" s="15"/>
    </row>
    <row r="349" spans="2:38">
      <c r="B349" s="542">
        <v>280</v>
      </c>
      <c r="C349" s="831"/>
      <c r="D349" s="830"/>
      <c r="F349" s="1008">
        <f t="shared" si="8"/>
        <v>0</v>
      </c>
      <c r="G349" s="514"/>
      <c r="H349" s="514"/>
      <c r="I349" s="514"/>
      <c r="J349" s="514"/>
      <c r="K349" s="514"/>
      <c r="L349" s="514"/>
      <c r="M349" s="514"/>
      <c r="N349" s="514"/>
      <c r="O349" s="514"/>
      <c r="P349" s="514"/>
      <c r="Q349" s="514"/>
      <c r="S349" s="15"/>
      <c r="U349" s="542">
        <v>280</v>
      </c>
      <c r="V349" s="831"/>
      <c r="W349" s="830"/>
      <c r="Y349" s="1009">
        <f t="shared" si="9"/>
        <v>0</v>
      </c>
      <c r="Z349" s="514"/>
      <c r="AA349" s="514"/>
      <c r="AB349" s="514"/>
      <c r="AC349" s="514"/>
      <c r="AD349" s="514"/>
      <c r="AE349" s="514"/>
      <c r="AF349" s="514"/>
      <c r="AG349" s="514"/>
      <c r="AH349" s="514"/>
      <c r="AI349" s="1010"/>
      <c r="AJ349" s="1010"/>
      <c r="AK349" s="1010"/>
      <c r="AL349" s="15"/>
    </row>
    <row r="350" spans="2:38">
      <c r="B350" s="542">
        <v>281</v>
      </c>
      <c r="C350" s="831"/>
      <c r="D350" s="830"/>
      <c r="F350" s="1008">
        <f t="shared" si="8"/>
        <v>0</v>
      </c>
      <c r="G350" s="514"/>
      <c r="H350" s="514"/>
      <c r="I350" s="514"/>
      <c r="J350" s="514"/>
      <c r="K350" s="514"/>
      <c r="L350" s="514"/>
      <c r="M350" s="514"/>
      <c r="N350" s="514"/>
      <c r="O350" s="514"/>
      <c r="P350" s="514"/>
      <c r="Q350" s="514"/>
      <c r="S350" s="15"/>
      <c r="U350" s="542">
        <v>281</v>
      </c>
      <c r="V350" s="831"/>
      <c r="W350" s="830"/>
      <c r="Y350" s="1009">
        <f t="shared" si="9"/>
        <v>0</v>
      </c>
      <c r="Z350" s="514"/>
      <c r="AA350" s="514"/>
      <c r="AB350" s="514"/>
      <c r="AC350" s="514"/>
      <c r="AD350" s="514"/>
      <c r="AE350" s="514"/>
      <c r="AF350" s="514"/>
      <c r="AG350" s="514"/>
      <c r="AH350" s="514"/>
      <c r="AI350" s="1010"/>
      <c r="AJ350" s="1010"/>
      <c r="AK350" s="1010"/>
      <c r="AL350" s="15"/>
    </row>
    <row r="351" spans="2:38">
      <c r="B351" s="542">
        <v>282</v>
      </c>
      <c r="C351" s="831"/>
      <c r="D351" s="830"/>
      <c r="F351" s="1008">
        <f t="shared" si="8"/>
        <v>0</v>
      </c>
      <c r="G351" s="514"/>
      <c r="H351" s="514"/>
      <c r="I351" s="514"/>
      <c r="J351" s="514"/>
      <c r="K351" s="514"/>
      <c r="L351" s="514"/>
      <c r="M351" s="514"/>
      <c r="N351" s="514"/>
      <c r="O351" s="514"/>
      <c r="P351" s="514"/>
      <c r="Q351" s="514"/>
      <c r="S351" s="15"/>
      <c r="U351" s="542">
        <v>282</v>
      </c>
      <c r="V351" s="831"/>
      <c r="W351" s="830"/>
      <c r="Y351" s="1009">
        <f t="shared" si="9"/>
        <v>0</v>
      </c>
      <c r="Z351" s="514"/>
      <c r="AA351" s="514"/>
      <c r="AB351" s="514"/>
      <c r="AC351" s="514"/>
      <c r="AD351" s="514"/>
      <c r="AE351" s="514"/>
      <c r="AF351" s="514"/>
      <c r="AG351" s="514"/>
      <c r="AH351" s="514"/>
      <c r="AI351" s="1010"/>
      <c r="AJ351" s="1010"/>
      <c r="AK351" s="1010"/>
      <c r="AL351" s="15"/>
    </row>
    <row r="352" spans="2:38">
      <c r="B352" s="542">
        <v>283</v>
      </c>
      <c r="C352" s="831"/>
      <c r="D352" s="830"/>
      <c r="F352" s="1008">
        <f t="shared" si="8"/>
        <v>0</v>
      </c>
      <c r="G352" s="514"/>
      <c r="H352" s="514"/>
      <c r="I352" s="514"/>
      <c r="J352" s="514"/>
      <c r="K352" s="514"/>
      <c r="L352" s="514"/>
      <c r="M352" s="514"/>
      <c r="N352" s="514"/>
      <c r="O352" s="514"/>
      <c r="P352" s="514"/>
      <c r="Q352" s="514"/>
      <c r="S352" s="15"/>
      <c r="U352" s="542">
        <v>283</v>
      </c>
      <c r="V352" s="831"/>
      <c r="W352" s="830"/>
      <c r="Y352" s="1009">
        <f t="shared" si="9"/>
        <v>0</v>
      </c>
      <c r="Z352" s="514"/>
      <c r="AA352" s="514"/>
      <c r="AB352" s="514"/>
      <c r="AC352" s="514"/>
      <c r="AD352" s="514"/>
      <c r="AE352" s="514"/>
      <c r="AF352" s="514"/>
      <c r="AG352" s="514"/>
      <c r="AH352" s="514"/>
      <c r="AI352" s="1010"/>
      <c r="AJ352" s="1010"/>
      <c r="AK352" s="1010"/>
      <c r="AL352" s="15"/>
    </row>
    <row r="353" spans="2:38">
      <c r="B353" s="542">
        <v>284</v>
      </c>
      <c r="C353" s="831"/>
      <c r="D353" s="830"/>
      <c r="F353" s="1008">
        <f t="shared" si="8"/>
        <v>0</v>
      </c>
      <c r="G353" s="514"/>
      <c r="H353" s="514"/>
      <c r="I353" s="514"/>
      <c r="J353" s="514"/>
      <c r="K353" s="514"/>
      <c r="L353" s="514"/>
      <c r="M353" s="514"/>
      <c r="N353" s="514"/>
      <c r="O353" s="514"/>
      <c r="P353" s="514"/>
      <c r="Q353" s="514"/>
      <c r="S353" s="15"/>
      <c r="U353" s="542">
        <v>284</v>
      </c>
      <c r="V353" s="831"/>
      <c r="W353" s="830"/>
      <c r="Y353" s="1009">
        <f t="shared" si="9"/>
        <v>0</v>
      </c>
      <c r="Z353" s="514"/>
      <c r="AA353" s="514"/>
      <c r="AB353" s="514"/>
      <c r="AC353" s="514"/>
      <c r="AD353" s="514"/>
      <c r="AE353" s="514"/>
      <c r="AF353" s="514"/>
      <c r="AG353" s="514"/>
      <c r="AH353" s="514"/>
      <c r="AI353" s="1010"/>
      <c r="AJ353" s="1010"/>
      <c r="AK353" s="1010"/>
      <c r="AL353" s="15"/>
    </row>
    <row r="354" spans="2:38">
      <c r="B354" s="542">
        <v>285</v>
      </c>
      <c r="C354" s="831"/>
      <c r="D354" s="830"/>
      <c r="F354" s="1008">
        <f t="shared" si="8"/>
        <v>0</v>
      </c>
      <c r="G354" s="514"/>
      <c r="H354" s="514"/>
      <c r="I354" s="514"/>
      <c r="J354" s="514"/>
      <c r="K354" s="514"/>
      <c r="L354" s="514"/>
      <c r="M354" s="514"/>
      <c r="N354" s="514"/>
      <c r="O354" s="514"/>
      <c r="P354" s="514"/>
      <c r="Q354" s="514"/>
      <c r="S354" s="15"/>
      <c r="U354" s="542">
        <v>285</v>
      </c>
      <c r="V354" s="831"/>
      <c r="W354" s="830"/>
      <c r="Y354" s="1009">
        <f t="shared" si="9"/>
        <v>0</v>
      </c>
      <c r="Z354" s="514"/>
      <c r="AA354" s="514"/>
      <c r="AB354" s="514"/>
      <c r="AC354" s="514"/>
      <c r="AD354" s="514"/>
      <c r="AE354" s="514"/>
      <c r="AF354" s="514"/>
      <c r="AG354" s="514"/>
      <c r="AH354" s="514"/>
      <c r="AI354" s="1010"/>
      <c r="AJ354" s="1010"/>
      <c r="AK354" s="1010"/>
      <c r="AL354" s="15"/>
    </row>
    <row r="355" spans="2:38">
      <c r="B355" s="542">
        <v>286</v>
      </c>
      <c r="C355" s="831"/>
      <c r="D355" s="830"/>
      <c r="F355" s="1008">
        <f t="shared" si="8"/>
        <v>0</v>
      </c>
      <c r="G355" s="514"/>
      <c r="H355" s="514"/>
      <c r="I355" s="514"/>
      <c r="J355" s="514"/>
      <c r="K355" s="514"/>
      <c r="L355" s="514"/>
      <c r="M355" s="514"/>
      <c r="N355" s="514"/>
      <c r="O355" s="514"/>
      <c r="P355" s="514"/>
      <c r="Q355" s="514"/>
      <c r="S355" s="15"/>
      <c r="U355" s="542">
        <v>286</v>
      </c>
      <c r="V355" s="831"/>
      <c r="W355" s="830"/>
      <c r="Y355" s="1009">
        <f t="shared" si="9"/>
        <v>0</v>
      </c>
      <c r="Z355" s="514"/>
      <c r="AA355" s="514"/>
      <c r="AB355" s="514"/>
      <c r="AC355" s="514"/>
      <c r="AD355" s="514"/>
      <c r="AE355" s="514"/>
      <c r="AF355" s="514"/>
      <c r="AG355" s="514"/>
      <c r="AH355" s="514"/>
      <c r="AI355" s="1010"/>
      <c r="AJ355" s="1010"/>
      <c r="AK355" s="1010"/>
      <c r="AL355" s="15"/>
    </row>
    <row r="356" spans="2:38">
      <c r="B356" s="542">
        <v>287</v>
      </c>
      <c r="C356" s="831"/>
      <c r="D356" s="830"/>
      <c r="F356" s="1008">
        <f t="shared" si="8"/>
        <v>0</v>
      </c>
      <c r="G356" s="514"/>
      <c r="H356" s="514"/>
      <c r="I356" s="514"/>
      <c r="J356" s="514"/>
      <c r="K356" s="514"/>
      <c r="L356" s="514"/>
      <c r="M356" s="514"/>
      <c r="N356" s="514"/>
      <c r="O356" s="514"/>
      <c r="P356" s="514"/>
      <c r="Q356" s="514"/>
      <c r="S356" s="15"/>
      <c r="U356" s="542">
        <v>287</v>
      </c>
      <c r="V356" s="831"/>
      <c r="W356" s="830"/>
      <c r="Y356" s="1009">
        <f t="shared" si="9"/>
        <v>0</v>
      </c>
      <c r="Z356" s="514"/>
      <c r="AA356" s="514"/>
      <c r="AB356" s="514"/>
      <c r="AC356" s="514"/>
      <c r="AD356" s="514"/>
      <c r="AE356" s="514"/>
      <c r="AF356" s="514"/>
      <c r="AG356" s="514"/>
      <c r="AH356" s="514"/>
      <c r="AI356" s="1010"/>
      <c r="AJ356" s="1010"/>
      <c r="AK356" s="1010"/>
      <c r="AL356" s="15"/>
    </row>
    <row r="357" spans="2:38">
      <c r="B357" s="542">
        <v>288</v>
      </c>
      <c r="C357" s="831"/>
      <c r="D357" s="830"/>
      <c r="F357" s="1008">
        <f t="shared" si="8"/>
        <v>0</v>
      </c>
      <c r="G357" s="514"/>
      <c r="H357" s="514"/>
      <c r="I357" s="514"/>
      <c r="J357" s="514"/>
      <c r="K357" s="514"/>
      <c r="L357" s="514"/>
      <c r="M357" s="514"/>
      <c r="N357" s="514"/>
      <c r="O357" s="514"/>
      <c r="P357" s="514"/>
      <c r="Q357" s="514"/>
      <c r="S357" s="15"/>
      <c r="U357" s="542">
        <v>288</v>
      </c>
      <c r="V357" s="831"/>
      <c r="W357" s="830"/>
      <c r="Y357" s="1009">
        <f t="shared" si="9"/>
        <v>0</v>
      </c>
      <c r="Z357" s="514"/>
      <c r="AA357" s="514"/>
      <c r="AB357" s="514"/>
      <c r="AC357" s="514"/>
      <c r="AD357" s="514"/>
      <c r="AE357" s="514"/>
      <c r="AF357" s="514"/>
      <c r="AG357" s="514"/>
      <c r="AH357" s="514"/>
      <c r="AI357" s="1010"/>
      <c r="AJ357" s="1010"/>
      <c r="AK357" s="1010"/>
      <c r="AL357" s="15"/>
    </row>
    <row r="358" spans="2:38">
      <c r="B358" s="542">
        <v>289</v>
      </c>
      <c r="C358" s="831"/>
      <c r="D358" s="830"/>
      <c r="F358" s="1008">
        <f t="shared" si="8"/>
        <v>0</v>
      </c>
      <c r="G358" s="514"/>
      <c r="H358" s="514"/>
      <c r="I358" s="514"/>
      <c r="J358" s="514"/>
      <c r="K358" s="514"/>
      <c r="L358" s="514"/>
      <c r="M358" s="514"/>
      <c r="N358" s="514"/>
      <c r="O358" s="514"/>
      <c r="P358" s="514"/>
      <c r="Q358" s="514"/>
      <c r="S358" s="15"/>
      <c r="U358" s="542">
        <v>289</v>
      </c>
      <c r="V358" s="831"/>
      <c r="W358" s="830"/>
      <c r="Y358" s="1009">
        <f t="shared" si="9"/>
        <v>0</v>
      </c>
      <c r="Z358" s="514"/>
      <c r="AA358" s="514"/>
      <c r="AB358" s="514"/>
      <c r="AC358" s="514"/>
      <c r="AD358" s="514"/>
      <c r="AE358" s="514"/>
      <c r="AF358" s="514"/>
      <c r="AG358" s="514"/>
      <c r="AH358" s="514"/>
      <c r="AI358" s="1010"/>
      <c r="AJ358" s="1010"/>
      <c r="AK358" s="1010"/>
      <c r="AL358" s="15"/>
    </row>
    <row r="359" spans="2:38">
      <c r="B359" s="542">
        <v>290</v>
      </c>
      <c r="C359" s="831"/>
      <c r="D359" s="830"/>
      <c r="F359" s="1008">
        <f>D359-D358</f>
        <v>0</v>
      </c>
      <c r="G359" s="514"/>
      <c r="H359" s="514"/>
      <c r="I359" s="514"/>
      <c r="J359" s="514"/>
      <c r="K359" s="514"/>
      <c r="L359" s="514"/>
      <c r="M359" s="514"/>
      <c r="N359" s="514"/>
      <c r="O359" s="514"/>
      <c r="P359" s="514"/>
      <c r="Q359" s="514"/>
      <c r="S359" s="15"/>
      <c r="U359" s="542">
        <v>290</v>
      </c>
      <c r="V359" s="831"/>
      <c r="W359" s="830"/>
      <c r="Y359" s="1009">
        <f t="shared" si="9"/>
        <v>0</v>
      </c>
      <c r="Z359" s="514"/>
      <c r="AA359" s="514"/>
      <c r="AB359" s="514"/>
      <c r="AC359" s="514"/>
      <c r="AD359" s="514"/>
      <c r="AE359" s="514"/>
      <c r="AF359" s="514"/>
      <c r="AG359" s="514"/>
      <c r="AH359" s="514"/>
      <c r="AI359" s="1010"/>
      <c r="AJ359" s="1010"/>
      <c r="AK359" s="1010"/>
      <c r="AL359" s="15"/>
    </row>
    <row r="360" spans="2:38">
      <c r="B360" s="542">
        <v>291</v>
      </c>
      <c r="C360" s="831"/>
      <c r="D360" s="830"/>
      <c r="F360" s="1008">
        <f>D360-D359</f>
        <v>0</v>
      </c>
      <c r="G360" s="514"/>
      <c r="H360" s="514"/>
      <c r="I360" s="514"/>
      <c r="J360" s="514"/>
      <c r="K360" s="514"/>
      <c r="L360" s="514"/>
      <c r="M360" s="514"/>
      <c r="N360" s="514"/>
      <c r="O360" s="514"/>
      <c r="P360" s="514"/>
      <c r="Q360" s="514"/>
      <c r="S360" s="15"/>
      <c r="U360" s="542">
        <v>291</v>
      </c>
      <c r="V360" s="831"/>
      <c r="W360" s="830"/>
      <c r="Y360" s="1009">
        <f t="shared" si="9"/>
        <v>0</v>
      </c>
      <c r="Z360" s="514"/>
      <c r="AA360" s="514"/>
      <c r="AB360" s="514"/>
      <c r="AC360" s="514"/>
      <c r="AD360" s="514"/>
      <c r="AE360" s="514"/>
      <c r="AF360" s="514"/>
      <c r="AG360" s="514"/>
      <c r="AH360" s="514"/>
      <c r="AI360" s="1010"/>
      <c r="AJ360" s="1010"/>
      <c r="AK360" s="1010"/>
      <c r="AL360" s="15"/>
    </row>
    <row r="361" spans="2:38">
      <c r="B361" s="542">
        <v>292</v>
      </c>
      <c r="C361" s="831"/>
      <c r="D361" s="830"/>
      <c r="F361" s="1008">
        <f t="shared" si="8"/>
        <v>0</v>
      </c>
      <c r="G361" s="514"/>
      <c r="H361" s="514"/>
      <c r="I361" s="514"/>
      <c r="J361" s="514"/>
      <c r="K361" s="514"/>
      <c r="L361" s="514"/>
      <c r="M361" s="514"/>
      <c r="N361" s="514"/>
      <c r="O361" s="514"/>
      <c r="P361" s="514"/>
      <c r="Q361" s="514"/>
      <c r="S361" s="15"/>
      <c r="U361" s="542">
        <v>292</v>
      </c>
      <c r="V361" s="831"/>
      <c r="W361" s="830"/>
      <c r="Y361" s="1009">
        <f t="shared" si="9"/>
        <v>0</v>
      </c>
      <c r="Z361" s="514"/>
      <c r="AA361" s="514"/>
      <c r="AB361" s="514"/>
      <c r="AC361" s="514"/>
      <c r="AD361" s="514"/>
      <c r="AE361" s="514"/>
      <c r="AF361" s="514"/>
      <c r="AG361" s="514"/>
      <c r="AH361" s="514"/>
      <c r="AI361" s="1010"/>
      <c r="AJ361" s="1010"/>
      <c r="AK361" s="1010"/>
      <c r="AL361" s="15"/>
    </row>
    <row r="362" spans="2:38">
      <c r="B362" s="542">
        <v>293</v>
      </c>
      <c r="C362" s="831"/>
      <c r="D362" s="830"/>
      <c r="F362" s="1008">
        <f t="shared" si="8"/>
        <v>0</v>
      </c>
      <c r="G362" s="514"/>
      <c r="H362" s="514"/>
      <c r="I362" s="514"/>
      <c r="J362" s="514"/>
      <c r="K362" s="514"/>
      <c r="L362" s="514"/>
      <c r="M362" s="514"/>
      <c r="N362" s="514"/>
      <c r="O362" s="514"/>
      <c r="P362" s="514"/>
      <c r="Q362" s="514"/>
      <c r="S362" s="15"/>
      <c r="U362" s="542">
        <v>293</v>
      </c>
      <c r="V362" s="831"/>
      <c r="W362" s="830"/>
      <c r="Y362" s="1009">
        <f t="shared" si="9"/>
        <v>0</v>
      </c>
      <c r="Z362" s="514"/>
      <c r="AA362" s="514"/>
      <c r="AB362" s="514"/>
      <c r="AC362" s="514"/>
      <c r="AD362" s="514"/>
      <c r="AE362" s="514"/>
      <c r="AF362" s="514"/>
      <c r="AG362" s="514"/>
      <c r="AH362" s="514"/>
      <c r="AI362" s="1010"/>
      <c r="AJ362" s="1010"/>
      <c r="AK362" s="1010"/>
      <c r="AL362" s="15"/>
    </row>
    <row r="363" spans="2:38">
      <c r="B363" s="542">
        <v>294</v>
      </c>
      <c r="C363" s="831"/>
      <c r="D363" s="830"/>
      <c r="F363" s="1008">
        <f t="shared" si="8"/>
        <v>0</v>
      </c>
      <c r="G363" s="514"/>
      <c r="H363" s="514"/>
      <c r="I363" s="514"/>
      <c r="J363" s="514"/>
      <c r="K363" s="514"/>
      <c r="L363" s="514"/>
      <c r="M363" s="514"/>
      <c r="N363" s="514"/>
      <c r="O363" s="514"/>
      <c r="P363" s="514"/>
      <c r="Q363" s="514"/>
      <c r="S363" s="15"/>
      <c r="U363" s="542">
        <v>294</v>
      </c>
      <c r="V363" s="831"/>
      <c r="W363" s="830"/>
      <c r="Y363" s="1009">
        <f t="shared" si="9"/>
        <v>0</v>
      </c>
      <c r="Z363" s="514"/>
      <c r="AA363" s="514"/>
      <c r="AB363" s="514"/>
      <c r="AC363" s="514"/>
      <c r="AD363" s="514"/>
      <c r="AE363" s="514"/>
      <c r="AF363" s="514"/>
      <c r="AG363" s="514"/>
      <c r="AH363" s="514"/>
      <c r="AI363" s="1010"/>
      <c r="AJ363" s="1010"/>
      <c r="AK363" s="1010"/>
      <c r="AL363" s="15"/>
    </row>
    <row r="364" spans="2:38">
      <c r="B364" s="542">
        <v>295</v>
      </c>
      <c r="C364" s="831"/>
      <c r="D364" s="830"/>
      <c r="F364" s="1008">
        <f t="shared" si="8"/>
        <v>0</v>
      </c>
      <c r="G364" s="514"/>
      <c r="H364" s="514"/>
      <c r="I364" s="514"/>
      <c r="J364" s="514"/>
      <c r="K364" s="514"/>
      <c r="L364" s="514"/>
      <c r="M364" s="514"/>
      <c r="N364" s="514"/>
      <c r="O364" s="514"/>
      <c r="P364" s="514"/>
      <c r="Q364" s="514"/>
      <c r="S364" s="15"/>
      <c r="U364" s="542">
        <v>295</v>
      </c>
      <c r="V364" s="831"/>
      <c r="W364" s="830"/>
      <c r="Y364" s="1009">
        <f t="shared" si="9"/>
        <v>0</v>
      </c>
      <c r="Z364" s="514"/>
      <c r="AA364" s="514"/>
      <c r="AB364" s="514"/>
      <c r="AC364" s="514"/>
      <c r="AD364" s="514"/>
      <c r="AE364" s="514"/>
      <c r="AF364" s="514"/>
      <c r="AG364" s="514"/>
      <c r="AH364" s="514"/>
      <c r="AI364" s="1010"/>
      <c r="AJ364" s="1010"/>
      <c r="AK364" s="1010"/>
      <c r="AL364" s="15"/>
    </row>
    <row r="365" spans="2:38">
      <c r="B365" s="542">
        <v>296</v>
      </c>
      <c r="C365" s="831"/>
      <c r="D365" s="830"/>
      <c r="F365" s="1008">
        <f t="shared" si="8"/>
        <v>0</v>
      </c>
      <c r="G365" s="514"/>
      <c r="H365" s="514"/>
      <c r="I365" s="514"/>
      <c r="J365" s="514"/>
      <c r="K365" s="514"/>
      <c r="L365" s="514"/>
      <c r="M365" s="514"/>
      <c r="N365" s="514"/>
      <c r="O365" s="514"/>
      <c r="P365" s="514"/>
      <c r="Q365" s="514"/>
      <c r="S365" s="15"/>
      <c r="U365" s="542">
        <v>296</v>
      </c>
      <c r="V365" s="831"/>
      <c r="W365" s="830"/>
      <c r="Y365" s="1009">
        <f t="shared" si="9"/>
        <v>0</v>
      </c>
      <c r="Z365" s="514"/>
      <c r="AA365" s="514"/>
      <c r="AB365" s="514"/>
      <c r="AC365" s="514"/>
      <c r="AD365" s="514"/>
      <c r="AE365" s="514"/>
      <c r="AF365" s="514"/>
      <c r="AG365" s="514"/>
      <c r="AH365" s="514"/>
      <c r="AI365" s="1010"/>
      <c r="AJ365" s="1010"/>
      <c r="AK365" s="1010"/>
      <c r="AL365" s="15"/>
    </row>
    <row r="366" spans="2:38">
      <c r="B366" s="542">
        <v>297</v>
      </c>
      <c r="C366" s="831"/>
      <c r="D366" s="830"/>
      <c r="F366" s="1008">
        <f t="shared" si="8"/>
        <v>0</v>
      </c>
      <c r="G366" s="514"/>
      <c r="H366" s="514"/>
      <c r="I366" s="514"/>
      <c r="J366" s="514"/>
      <c r="K366" s="514"/>
      <c r="L366" s="514"/>
      <c r="M366" s="514"/>
      <c r="N366" s="514"/>
      <c r="O366" s="514"/>
      <c r="P366" s="514"/>
      <c r="Q366" s="514"/>
      <c r="S366" s="15"/>
      <c r="U366" s="542">
        <v>297</v>
      </c>
      <c r="V366" s="831"/>
      <c r="W366" s="830"/>
      <c r="Y366" s="1009">
        <f t="shared" si="9"/>
        <v>0</v>
      </c>
      <c r="Z366" s="514"/>
      <c r="AA366" s="514"/>
      <c r="AB366" s="514"/>
      <c r="AC366" s="514"/>
      <c r="AD366" s="514"/>
      <c r="AE366" s="514"/>
      <c r="AF366" s="514"/>
      <c r="AG366" s="514"/>
      <c r="AH366" s="514"/>
      <c r="AI366" s="1010"/>
      <c r="AJ366" s="1010"/>
      <c r="AK366" s="1010"/>
      <c r="AL366" s="15"/>
    </row>
    <row r="367" spans="2:38">
      <c r="B367" s="542">
        <v>298</v>
      </c>
      <c r="C367" s="831"/>
      <c r="D367" s="830"/>
      <c r="F367" s="1008">
        <f t="shared" si="8"/>
        <v>0</v>
      </c>
      <c r="G367" s="514"/>
      <c r="H367" s="514"/>
      <c r="I367" s="514"/>
      <c r="J367" s="514"/>
      <c r="K367" s="514"/>
      <c r="L367" s="514"/>
      <c r="M367" s="514"/>
      <c r="N367" s="514"/>
      <c r="O367" s="514"/>
      <c r="P367" s="514"/>
      <c r="Q367" s="514"/>
      <c r="S367" s="15"/>
      <c r="U367" s="542">
        <v>298</v>
      </c>
      <c r="V367" s="831"/>
      <c r="W367" s="830"/>
      <c r="Y367" s="1009">
        <f t="shared" si="9"/>
        <v>0</v>
      </c>
      <c r="Z367" s="514"/>
      <c r="AA367" s="514"/>
      <c r="AB367" s="514"/>
      <c r="AC367" s="514"/>
      <c r="AD367" s="514"/>
      <c r="AE367" s="514"/>
      <c r="AF367" s="514"/>
      <c r="AG367" s="514"/>
      <c r="AH367" s="514"/>
      <c r="AI367" s="1010"/>
      <c r="AJ367" s="1010"/>
      <c r="AK367" s="1010"/>
      <c r="AL367" s="15"/>
    </row>
    <row r="368" spans="2:38">
      <c r="B368" s="542">
        <v>299</v>
      </c>
      <c r="C368" s="831"/>
      <c r="D368" s="830"/>
      <c r="F368" s="1008">
        <f t="shared" si="8"/>
        <v>0</v>
      </c>
      <c r="G368" s="514"/>
      <c r="H368" s="514"/>
      <c r="I368" s="514"/>
      <c r="J368" s="514"/>
      <c r="K368" s="514"/>
      <c r="L368" s="514"/>
      <c r="M368" s="514"/>
      <c r="N368" s="514"/>
      <c r="O368" s="514"/>
      <c r="P368" s="514"/>
      <c r="Q368" s="514"/>
      <c r="S368" s="15"/>
      <c r="U368" s="542">
        <v>299</v>
      </c>
      <c r="V368" s="831"/>
      <c r="W368" s="830"/>
      <c r="Y368" s="1009">
        <f t="shared" si="9"/>
        <v>0</v>
      </c>
      <c r="Z368" s="514"/>
      <c r="AA368" s="514"/>
      <c r="AB368" s="514"/>
      <c r="AC368" s="514"/>
      <c r="AD368" s="514"/>
      <c r="AE368" s="514"/>
      <c r="AF368" s="514"/>
      <c r="AG368" s="514"/>
      <c r="AH368" s="514"/>
      <c r="AI368" s="1010"/>
      <c r="AJ368" s="1010"/>
      <c r="AK368" s="1010"/>
      <c r="AL368" s="15"/>
    </row>
    <row r="369" spans="1:38">
      <c r="B369" s="542">
        <v>300</v>
      </c>
      <c r="C369" s="831"/>
      <c r="D369" s="830"/>
      <c r="F369" s="1008">
        <f t="shared" si="8"/>
        <v>0</v>
      </c>
      <c r="G369" s="514"/>
      <c r="H369" s="514"/>
      <c r="I369" s="514"/>
      <c r="J369" s="514"/>
      <c r="K369" s="514"/>
      <c r="L369" s="514"/>
      <c r="M369" s="514"/>
      <c r="N369" s="514"/>
      <c r="O369" s="514"/>
      <c r="P369" s="514"/>
      <c r="Q369" s="514"/>
      <c r="S369" s="15"/>
      <c r="U369" s="542">
        <v>300</v>
      </c>
      <c r="V369" s="831"/>
      <c r="W369" s="830"/>
      <c r="Y369" s="1009">
        <f t="shared" si="9"/>
        <v>0</v>
      </c>
      <c r="Z369" s="514"/>
      <c r="AA369" s="514"/>
      <c r="AB369" s="514"/>
      <c r="AC369" s="514"/>
      <c r="AD369" s="514"/>
      <c r="AE369" s="514"/>
      <c r="AF369" s="514"/>
      <c r="AG369" s="514"/>
      <c r="AH369" s="514"/>
      <c r="AI369" s="1010"/>
      <c r="AJ369" s="1010"/>
      <c r="AK369" s="1010"/>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JkI4sxuV1OCTpypfO4ivL1h791EZo9j6nj76836l8NPoqXjFPAb7T4WF5gZEXRNl1WdX8yw/Bu7xS0mTUe4tw==" saltValue="LQuBI4J3tFY5XtEIR4m1ew==" spinCount="100000" sheet="1" scenarios="1" insertHyperlinks="0"/>
  <protectedRanges>
    <protectedRange sqref="A5:AL18 A21:AL42" name="Bereich1"/>
    <protectedRange sqref="C47:D48 G47:H48 V47:W48 Z47:AA48 G54:H54 V56:W57 C57:D61" name="Bereich2"/>
    <protectedRange sqref="H70:R80" name="Bereich3"/>
    <protectedRange sqref="C70:D369" name="Bereich4"/>
    <protectedRange sqref="V70:W369" name="Bereich5"/>
  </protectedRanges>
  <mergeCells count="53">
    <mergeCell ref="C47:D47"/>
    <mergeCell ref="A48:B48"/>
    <mergeCell ref="G48:H48"/>
    <mergeCell ref="C54:D54"/>
    <mergeCell ref="C57:D57"/>
    <mergeCell ref="C52:D52"/>
    <mergeCell ref="E48:F48"/>
    <mergeCell ref="E54:F54"/>
    <mergeCell ref="G54:H54"/>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Z48:AA48"/>
    <mergeCell ref="V48:W48"/>
    <mergeCell ref="X48:Y48"/>
    <mergeCell ref="T48:U48"/>
    <mergeCell ref="V51:W51"/>
    <mergeCell ref="V57:W57"/>
    <mergeCell ref="AG54:AH54"/>
    <mergeCell ref="V54:W54"/>
    <mergeCell ref="AG56:AH56"/>
    <mergeCell ref="AG55:AH55"/>
    <mergeCell ref="V55:W55"/>
    <mergeCell ref="V56:W56"/>
  </mergeCells>
  <phoneticPr fontId="2" type="noConversion"/>
  <conditionalFormatting sqref="C51:D51">
    <cfRule type="cellIs" dxfId="438" priority="11" stopIfTrue="1" operator="greaterThanOrEqual">
      <formula>$C$52</formula>
    </cfRule>
    <cfRule type="cellIs" dxfId="437" priority="12" stopIfTrue="1" operator="between">
      <formula>0.01</formula>
      <formula>$C$52</formula>
    </cfRule>
    <cfRule type="cellIs" dxfId="436" priority="13" stopIfTrue="1" operator="equal">
      <formula>0</formula>
    </cfRule>
  </conditionalFormatting>
  <conditionalFormatting sqref="C54:D54">
    <cfRule type="expression" dxfId="435" priority="3">
      <formula>OR($C$54&lt;65,$C$54&lt;$V$51)</formula>
    </cfRule>
  </conditionalFormatting>
  <conditionalFormatting sqref="C58:D58">
    <cfRule type="expression" dxfId="434" priority="1">
      <formula>C58&gt;275</formula>
    </cfRule>
    <cfRule type="expression" dxfId="433" priority="2">
      <formula>C58&lt;275</formula>
    </cfRule>
  </conditionalFormatting>
  <conditionalFormatting sqref="C60:D60">
    <cfRule type="expression" dxfId="432" priority="4">
      <formula>$C$60&lt;0.4*$C$61</formula>
    </cfRule>
  </conditionalFormatting>
  <conditionalFormatting sqref="C61:D61">
    <cfRule type="expression" dxfId="431" priority="5">
      <formula>$C$61&lt;0.4*$C$60</formula>
    </cfRule>
  </conditionalFormatting>
  <conditionalFormatting sqref="N47:O47">
    <cfRule type="cellIs" dxfId="430" priority="19" stopIfTrue="1" operator="equal">
      <formula>0</formula>
    </cfRule>
    <cfRule type="cellIs" dxfId="429" priority="20" stopIfTrue="1" operator="greaterThanOrEqual">
      <formula>$P$47</formula>
    </cfRule>
    <cfRule type="cellIs" dxfId="428" priority="21" stopIfTrue="1" operator="lessThan">
      <formula>$P$47</formula>
    </cfRule>
  </conditionalFormatting>
  <conditionalFormatting sqref="V51:W51">
    <cfRule type="expression" dxfId="427" priority="6">
      <formula>V51&lt;65</formula>
    </cfRule>
  </conditionalFormatting>
  <conditionalFormatting sqref="AJ55">
    <cfRule type="cellIs" dxfId="426" priority="7" stopIfTrue="1" operator="greaterThanOrEqual">
      <formula>100</formula>
    </cfRule>
    <cfRule type="cellIs" dxfId="425" priority="14" stopIfTrue="1" operator="lessThan">
      <formula>75</formula>
    </cfRule>
    <cfRule type="cellIs" dxfId="424" priority="15" stopIfTrue="1" operator="greaterThanOrEqual">
      <formula>75</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activeCell="Q21" sqref="Q21"/>
    </sheetView>
  </sheetViews>
  <sheetFormatPr baseColWidth="10" defaultColWidth="11.46484375" defaultRowHeight="12.75"/>
  <cols>
    <col min="1" max="38" width="5" customWidth="1"/>
  </cols>
  <sheetData>
    <row r="1" spans="1:41" ht="13.15">
      <c r="A1" s="1194" t="s">
        <v>286</v>
      </c>
      <c r="B1" s="1195"/>
      <c r="C1" s="1195"/>
      <c r="D1" s="1195"/>
      <c r="E1" s="1195"/>
      <c r="F1" s="1195"/>
      <c r="G1" s="1195"/>
      <c r="H1" s="1195"/>
      <c r="I1" s="1195"/>
      <c r="J1" s="1195"/>
      <c r="K1" s="1195"/>
      <c r="L1" s="1195"/>
      <c r="M1" s="1195"/>
      <c r="N1" s="1195"/>
      <c r="O1" s="1195"/>
      <c r="P1" s="1195"/>
      <c r="Q1" s="1195"/>
      <c r="R1" s="1195"/>
      <c r="S1" s="1196"/>
      <c r="T1" s="1194" t="s">
        <v>287</v>
      </c>
      <c r="U1" s="1195"/>
      <c r="V1" s="1195"/>
      <c r="W1" s="1195"/>
      <c r="X1" s="1195"/>
      <c r="Y1" s="1195"/>
      <c r="Z1" s="1195"/>
      <c r="AA1" s="1195"/>
      <c r="AB1" s="1195"/>
      <c r="AC1" s="1195"/>
      <c r="AD1" s="1195"/>
      <c r="AE1" s="1195"/>
      <c r="AF1" s="1195"/>
      <c r="AG1" s="1195"/>
      <c r="AH1" s="1195"/>
      <c r="AI1" s="1195"/>
      <c r="AJ1" s="1195"/>
      <c r="AK1" s="1195"/>
      <c r="AL1" s="1196"/>
    </row>
    <row r="2" spans="1:41">
      <c r="A2" s="4"/>
      <c r="S2" s="15"/>
      <c r="T2" s="4"/>
      <c r="AL2" s="15"/>
      <c r="AM2" s="162" t="s">
        <v>219</v>
      </c>
      <c r="AN2" s="162"/>
      <c r="AO2" s="162"/>
    </row>
    <row r="3" spans="1:41">
      <c r="A3" t="s">
        <v>39</v>
      </c>
      <c r="D3" s="1157" t="str">
        <f>IF('Cover Sheet'!$D$14&gt;0,'Cover Sheet'!$D$14,"")</f>
        <v>Ecole Centrale Lyon</v>
      </c>
      <c r="E3" s="1157"/>
      <c r="F3" s="1157"/>
      <c r="G3" s="1157"/>
      <c r="H3" s="1157"/>
      <c r="I3" s="1157"/>
      <c r="J3" s="1157"/>
      <c r="K3" t="s">
        <v>40</v>
      </c>
      <c r="O3" s="1157" t="str">
        <f>IF('Cover Sheet'!$O$14&gt;0,'Cover Sheet'!$O$14,"")</f>
        <v>81 FSCH</v>
      </c>
      <c r="P3" s="1157"/>
      <c r="Q3" s="1157"/>
      <c r="R3" s="1157"/>
      <c r="S3" s="1157"/>
      <c r="T3" t="s">
        <v>39</v>
      </c>
      <c r="W3" s="1157" t="str">
        <f>IF('Cover Sheet'!$D$14&gt;0,'Cover Sheet'!$D$14,"")</f>
        <v>Ecole Centrale Lyon</v>
      </c>
      <c r="X3" s="1157"/>
      <c r="Y3" s="1157"/>
      <c r="Z3" s="1157"/>
      <c r="AA3" s="1157"/>
      <c r="AB3" s="1157"/>
      <c r="AC3" s="1157"/>
      <c r="AD3" t="s">
        <v>40</v>
      </c>
      <c r="AH3" s="1157" t="str">
        <f>IF('Cover Sheet'!$O$14&gt;0,'Cover Sheet'!$O$14,"")</f>
        <v>81 FSCH</v>
      </c>
      <c r="AI3" s="1157"/>
      <c r="AJ3" s="1157"/>
      <c r="AK3" s="1157"/>
      <c r="AL3" s="1157"/>
    </row>
    <row r="4" spans="1:41">
      <c r="A4" s="4"/>
      <c r="S4" s="15"/>
      <c r="T4" s="4"/>
      <c r="AL4" s="15"/>
    </row>
    <row r="5" spans="1:41" ht="12.75" customHeight="1">
      <c r="A5" s="1211"/>
      <c r="B5" s="1212"/>
      <c r="C5" s="1212"/>
      <c r="D5" s="1212"/>
      <c r="E5" s="1212"/>
      <c r="F5" s="1212"/>
      <c r="G5" s="1212"/>
      <c r="H5" s="1212"/>
      <c r="I5" s="1212"/>
      <c r="J5" s="1212"/>
      <c r="K5" s="1212"/>
      <c r="L5" s="1212"/>
      <c r="M5" s="1212"/>
      <c r="N5" s="1212"/>
      <c r="O5" s="1212"/>
      <c r="P5" s="1212"/>
      <c r="Q5" s="1212"/>
      <c r="R5" s="1212"/>
      <c r="S5" s="1213"/>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5"/>
      <c r="U7" s="388" t="s">
        <v>220</v>
      </c>
      <c r="V7" s="26"/>
      <c r="W7" s="26"/>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5"/>
      <c r="U8" s="252"/>
      <c r="V8" s="26"/>
      <c r="W8" s="26"/>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5"/>
      <c r="U9" s="388" t="s">
        <v>221</v>
      </c>
      <c r="V9" s="26"/>
      <c r="W9" s="26"/>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5"/>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89" t="s">
        <v>288</v>
      </c>
      <c r="B19" s="6"/>
      <c r="C19" s="6"/>
      <c r="D19" s="6"/>
      <c r="E19" s="6"/>
      <c r="F19" s="6"/>
      <c r="G19" s="6"/>
      <c r="H19" s="6"/>
      <c r="I19" s="6"/>
      <c r="J19" s="6"/>
      <c r="K19" s="6"/>
      <c r="L19" s="6"/>
      <c r="M19" s="6"/>
      <c r="N19" s="6"/>
      <c r="O19" s="6"/>
      <c r="P19" s="6"/>
      <c r="Q19" s="6"/>
      <c r="R19" s="6"/>
      <c r="S19" s="7"/>
      <c r="T19" s="9" t="s">
        <v>289</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89" t="s">
        <v>290</v>
      </c>
      <c r="B43" s="6"/>
      <c r="C43" s="6"/>
      <c r="D43" s="6"/>
      <c r="E43" s="6"/>
      <c r="F43" s="6"/>
      <c r="G43" s="6"/>
      <c r="H43" s="6"/>
      <c r="I43" s="6"/>
      <c r="J43" s="6"/>
      <c r="K43" s="6"/>
      <c r="L43" s="6"/>
      <c r="M43" s="6"/>
      <c r="N43" s="6"/>
      <c r="O43" s="6"/>
      <c r="P43" s="6"/>
      <c r="Q43" s="6"/>
      <c r="R43" s="6"/>
      <c r="S43" s="7"/>
      <c r="T43" s="9" t="s">
        <v>291</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row>
    <row r="46" spans="1:38" ht="14.25" customHeight="1">
      <c r="A46" s="1187" t="s">
        <v>235</v>
      </c>
      <c r="B46" s="1186"/>
      <c r="C46" s="1182"/>
      <c r="D46" s="1183"/>
      <c r="E46" s="1186" t="s">
        <v>236</v>
      </c>
      <c r="F46" s="1186"/>
      <c r="G46" s="1182"/>
      <c r="H46" s="1183"/>
      <c r="I46" s="8"/>
      <c r="J46" s="10"/>
      <c r="K46" s="10"/>
      <c r="L46" s="10"/>
      <c r="M46" s="87" t="s">
        <v>237</v>
      </c>
      <c r="N46" s="1214">
        <f>IF(C47&gt;0,(((G47-G46)/(C47-C46))^-1-IF(AG52&gt;0,AG52^-1,0))^-1,0)</f>
        <v>0</v>
      </c>
      <c r="O46" s="1215"/>
      <c r="P46" s="1197"/>
      <c r="Q46" s="1198"/>
      <c r="R46" s="1198"/>
      <c r="S46" s="11"/>
      <c r="T46" s="1187" t="s">
        <v>235</v>
      </c>
      <c r="U46" s="1186"/>
      <c r="V46" s="1184"/>
      <c r="W46" s="1185"/>
      <c r="X46" s="1186" t="s">
        <v>236</v>
      </c>
      <c r="Y46" s="1186"/>
      <c r="Z46" s="1182"/>
      <c r="AA46" s="1183"/>
      <c r="AB46" s="8"/>
      <c r="AC46" s="10"/>
      <c r="AD46" s="10"/>
      <c r="AE46" s="10"/>
      <c r="AF46" s="87" t="s">
        <v>237</v>
      </c>
      <c r="AG46" s="1190">
        <f>IF((V47-V46)&gt;0,(Z47-Z46)/(V47-V46),0)</f>
        <v>0</v>
      </c>
      <c r="AH46" s="1191"/>
      <c r="AI46" s="10"/>
      <c r="AJ46" s="10"/>
      <c r="AK46" s="10"/>
      <c r="AL46" s="11"/>
    </row>
    <row r="47" spans="1:38" ht="14.25" customHeight="1">
      <c r="A47" s="1187" t="s">
        <v>238</v>
      </c>
      <c r="B47" s="1186"/>
      <c r="C47" s="1182"/>
      <c r="D47" s="1183"/>
      <c r="E47" s="1186" t="s">
        <v>239</v>
      </c>
      <c r="F47" s="1186"/>
      <c r="G47" s="1182"/>
      <c r="H47" s="1183"/>
      <c r="I47" s="162" t="str">
        <f>IFERROR(IF(AND(N46&lt;0,G47&gt;G46),"Congrats! You've found an Easter egg!",""),"")</f>
        <v/>
      </c>
      <c r="P47" s="10"/>
      <c r="Q47" s="10"/>
      <c r="R47" s="10"/>
      <c r="S47" s="11"/>
      <c r="T47" s="1187" t="s">
        <v>238</v>
      </c>
      <c r="U47" s="1186"/>
      <c r="V47" s="1184"/>
      <c r="W47" s="1185"/>
      <c r="X47" s="1186" t="s">
        <v>239</v>
      </c>
      <c r="Y47" s="1186"/>
      <c r="Z47" s="1182"/>
      <c r="AA47" s="1183"/>
      <c r="AB47" s="8"/>
      <c r="AC47" s="8"/>
      <c r="AD47" s="8"/>
      <c r="AE47" s="8"/>
      <c r="AF47" s="8"/>
      <c r="AG47" s="8"/>
      <c r="AH47" s="8"/>
      <c r="AI47" s="10"/>
      <c r="AJ47" s="10"/>
      <c r="AK47" s="10"/>
      <c r="AL47" s="11"/>
    </row>
    <row r="48" spans="1:38">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240</v>
      </c>
      <c r="B49" s="10"/>
      <c r="C49" s="10"/>
      <c r="D49" s="10"/>
      <c r="E49" s="10"/>
      <c r="F49" s="10"/>
      <c r="G49" s="10"/>
      <c r="H49" s="10"/>
      <c r="I49" s="10"/>
      <c r="J49" s="10"/>
      <c r="K49" s="10"/>
      <c r="L49" s="10"/>
      <c r="M49" s="10"/>
      <c r="N49" s="10"/>
      <c r="O49" s="10"/>
      <c r="P49" s="10"/>
      <c r="Q49" s="10"/>
      <c r="R49" s="10"/>
      <c r="S49" s="11"/>
      <c r="T49" s="9" t="s">
        <v>246</v>
      </c>
      <c r="U49" s="8"/>
      <c r="V49" s="8"/>
      <c r="W49" s="8"/>
      <c r="X49" s="8"/>
      <c r="Y49" s="8"/>
      <c r="Z49" s="8"/>
      <c r="AA49" s="8"/>
      <c r="AB49" s="8"/>
      <c r="AC49" s="8"/>
      <c r="AD49" s="8"/>
      <c r="AE49" s="8"/>
      <c r="AF49" s="8"/>
      <c r="AG49" s="8"/>
      <c r="AH49" s="8"/>
      <c r="AI49" s="8"/>
      <c r="AJ49" s="8"/>
      <c r="AK49" s="8"/>
      <c r="AL49" s="85"/>
    </row>
    <row r="50" spans="1:38" ht="14.25">
      <c r="A50" s="1187" t="s">
        <v>242</v>
      </c>
      <c r="B50" s="1186"/>
      <c r="C50" s="1216"/>
      <c r="D50" s="1217"/>
      <c r="E50" s="8"/>
      <c r="F50" s="10"/>
      <c r="G50" s="10"/>
      <c r="H50" s="10"/>
      <c r="I50" s="10"/>
      <c r="J50" s="10"/>
      <c r="K50" s="10"/>
      <c r="L50" s="10"/>
      <c r="M50" s="10"/>
      <c r="N50" s="10"/>
      <c r="O50" s="10"/>
      <c r="P50" s="10"/>
      <c r="Q50" s="10"/>
      <c r="R50" s="10"/>
      <c r="S50" s="11"/>
      <c r="T50" s="9"/>
      <c r="U50" s="87" t="s">
        <v>249</v>
      </c>
      <c r="V50" s="1176">
        <f>C53</f>
        <v>400</v>
      </c>
      <c r="W50" s="1177"/>
      <c r="X50" s="8" t="s">
        <v>250</v>
      </c>
      <c r="Y50" s="8"/>
      <c r="Z50" s="8"/>
      <c r="AA50" s="8"/>
      <c r="AB50" s="8"/>
      <c r="AC50" s="8"/>
      <c r="AD50" s="8"/>
      <c r="AE50" s="8"/>
      <c r="AF50" s="87" t="s">
        <v>251</v>
      </c>
      <c r="AG50" s="1174">
        <f>V51*(1/64)*PI()*(V52^4-V53^4)*200000</f>
        <v>1339009872.1404533</v>
      </c>
      <c r="AH50" s="1175"/>
      <c r="AI50" s="612">
        <f>AG50*48/V50^3</f>
        <v>1004.25740410534</v>
      </c>
      <c r="AJ50" s="8"/>
      <c r="AK50" s="8"/>
      <c r="AL50" s="85"/>
    </row>
    <row r="51" spans="1:38" ht="15" customHeight="1">
      <c r="A51" s="12"/>
      <c r="B51" s="10"/>
      <c r="C51" s="651" t="str">
        <f>IF(L67&gt;12.7,"Force must be taken at max. 12.7 mm deflection!","")</f>
        <v/>
      </c>
      <c r="D51" s="650"/>
      <c r="E51" s="10"/>
      <c r="F51" s="10"/>
      <c r="G51" s="10"/>
      <c r="H51" s="10"/>
      <c r="I51" s="10"/>
      <c r="J51" s="10"/>
      <c r="K51" s="10"/>
      <c r="L51" s="10"/>
      <c r="M51" s="10"/>
      <c r="N51" s="10"/>
      <c r="O51" s="10"/>
      <c r="P51" s="10"/>
      <c r="Q51" s="10"/>
      <c r="R51" s="10"/>
      <c r="S51" s="11"/>
      <c r="T51" s="9"/>
      <c r="U51" s="87" t="s">
        <v>252</v>
      </c>
      <c r="V51" s="1172">
        <v>1</v>
      </c>
      <c r="W51" s="1173"/>
      <c r="X51" s="8" t="s">
        <v>253</v>
      </c>
      <c r="Y51" s="8"/>
      <c r="Z51" s="8"/>
      <c r="AA51" s="8"/>
      <c r="AB51" s="8"/>
      <c r="AC51" s="8"/>
      <c r="AD51" s="8"/>
      <c r="AE51" s="8"/>
      <c r="AF51" s="87" t="s">
        <v>254</v>
      </c>
      <c r="AG51" s="1174">
        <f>IF(AG46&gt;0,(AG46*V50^3)/48,AG50)</f>
        <v>1339009872.1404533</v>
      </c>
      <c r="AH51" s="1175"/>
      <c r="AI51" s="612">
        <f>AG51*48/V50^3</f>
        <v>1004.25740410534</v>
      </c>
      <c r="AJ51" s="298">
        <f>100*AG51/AG50</f>
        <v>100</v>
      </c>
      <c r="AK51" s="8" t="s">
        <v>255</v>
      </c>
      <c r="AL51" s="85"/>
    </row>
    <row r="52" spans="1:38" ht="14.25" customHeight="1">
      <c r="A52" s="86" t="s">
        <v>256</v>
      </c>
      <c r="B52" s="10"/>
      <c r="C52" s="10"/>
      <c r="D52" s="10"/>
      <c r="E52" s="10"/>
      <c r="F52" s="10"/>
      <c r="G52" s="10"/>
      <c r="H52" s="10"/>
      <c r="I52" s="10"/>
      <c r="J52" s="10"/>
      <c r="K52" s="10"/>
      <c r="L52" s="10"/>
      <c r="M52" s="10"/>
      <c r="N52" s="10"/>
      <c r="O52" s="10"/>
      <c r="P52" s="10"/>
      <c r="Q52" s="10"/>
      <c r="R52" s="10"/>
      <c r="S52" s="11"/>
      <c r="T52" s="9"/>
      <c r="U52" s="87" t="s">
        <v>257</v>
      </c>
      <c r="V52" s="1172">
        <v>25.4</v>
      </c>
      <c r="W52" s="1173"/>
      <c r="X52" s="8" t="s">
        <v>258</v>
      </c>
      <c r="Y52" s="8"/>
      <c r="Z52" s="8"/>
      <c r="AA52" s="8"/>
      <c r="AB52" s="8"/>
      <c r="AC52" s="8"/>
      <c r="AD52" s="8"/>
      <c r="AE52" s="8"/>
      <c r="AF52" s="87" t="s">
        <v>259</v>
      </c>
      <c r="AG52" s="1178">
        <f>IF(AJ51&lt;75,0,IF(AG51&gt;=AG50,0,(AI51^-1-AI50^-1)^-1))</f>
        <v>0</v>
      </c>
      <c r="AH52" s="1179"/>
      <c r="AI52" s="8"/>
      <c r="AJ52" s="8"/>
      <c r="AK52" s="8"/>
      <c r="AL52" s="85"/>
    </row>
    <row r="53" spans="1:38" ht="12.75" customHeight="1">
      <c r="A53" s="9"/>
      <c r="B53" s="88" t="s">
        <v>249</v>
      </c>
      <c r="C53" s="1182">
        <v>400</v>
      </c>
      <c r="D53" s="1183"/>
      <c r="E53" s="8" t="s">
        <v>260</v>
      </c>
      <c r="F53" s="10"/>
      <c r="G53" s="10"/>
      <c r="H53" s="10"/>
      <c r="I53" s="10"/>
      <c r="J53" s="10"/>
      <c r="K53" s="10"/>
      <c r="L53" s="10"/>
      <c r="M53" s="10"/>
      <c r="N53" s="10"/>
      <c r="O53" s="10"/>
      <c r="P53" s="10"/>
      <c r="Q53" s="10"/>
      <c r="R53" s="10"/>
      <c r="S53" s="11"/>
      <c r="T53" s="9"/>
      <c r="U53" s="87" t="s">
        <v>261</v>
      </c>
      <c r="V53" s="1172">
        <v>23</v>
      </c>
      <c r="W53" s="1173"/>
      <c r="X53" s="8" t="s">
        <v>262</v>
      </c>
      <c r="Y53" s="8"/>
      <c r="Z53" s="8"/>
      <c r="AA53" s="8"/>
      <c r="AB53" s="8"/>
      <c r="AC53" s="8"/>
      <c r="AD53" s="8"/>
      <c r="AE53" s="8"/>
      <c r="AF53" s="8"/>
      <c r="AG53" s="8"/>
      <c r="AH53" s="8"/>
      <c r="AI53" s="8"/>
      <c r="AJ53" s="8"/>
      <c r="AK53" s="8"/>
      <c r="AL53" s="85"/>
    </row>
    <row r="54" spans="1:38">
      <c r="A54" s="1203" t="s">
        <v>263</v>
      </c>
      <c r="B54" s="1204"/>
      <c r="C54" s="1182">
        <v>275</v>
      </c>
      <c r="D54" s="1183"/>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203" t="s">
        <v>265</v>
      </c>
      <c r="B55" s="1204"/>
      <c r="C55" s="1172"/>
      <c r="D55" s="1173"/>
      <c r="E55" s="8" t="s">
        <v>266</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203" t="s">
        <v>267</v>
      </c>
      <c r="B56" s="1204"/>
      <c r="C56" s="1172"/>
      <c r="D56" s="1173"/>
      <c r="E56" s="8" t="s">
        <v>67</v>
      </c>
      <c r="F56" s="8"/>
      <c r="G56" s="8"/>
      <c r="H56" s="8"/>
      <c r="I56" s="8"/>
      <c r="J56" s="361" t="str">
        <f>IF(C56&lt;0.4*C57,"Asymmetrical lay-up: skin too thin in comparison, see T3.4.4.","")</f>
        <v/>
      </c>
      <c r="K56" s="8"/>
      <c r="L56" s="8"/>
      <c r="M56" s="8"/>
      <c r="N56" s="8"/>
      <c r="O56" s="10"/>
      <c r="P56" s="10"/>
      <c r="Q56" s="10"/>
      <c r="R56" s="10"/>
      <c r="S56" s="11"/>
      <c r="T56" s="9"/>
      <c r="U56" s="1199" t="str">
        <f>IF(AND(0&lt;$AJ$51,$AJ$51&lt;75),"Rig compliance out of normal bounds, perform and document another rig compliance test!","")</f>
        <v/>
      </c>
      <c r="V56" s="1199"/>
      <c r="W56" s="1199"/>
      <c r="X56" s="1199"/>
      <c r="Y56" s="1199"/>
      <c r="Z56" s="1199"/>
      <c r="AA56" s="1199"/>
      <c r="AB56" s="1199"/>
      <c r="AC56" s="1199"/>
      <c r="AD56" s="1199"/>
      <c r="AE56" s="1199"/>
      <c r="AF56" s="1199"/>
      <c r="AG56" s="1199"/>
      <c r="AH56" s="1199"/>
      <c r="AI56" s="1199"/>
      <c r="AJ56" s="1199"/>
      <c r="AK56" s="1199"/>
      <c r="AL56" s="85"/>
    </row>
    <row r="57" spans="1:38" ht="15.75" customHeight="1">
      <c r="A57" s="1203" t="s">
        <v>268</v>
      </c>
      <c r="B57" s="1204"/>
      <c r="C57" s="1172"/>
      <c r="D57" s="1173"/>
      <c r="E57" s="8" t="s">
        <v>68</v>
      </c>
      <c r="F57" s="8"/>
      <c r="G57" s="8"/>
      <c r="H57" s="8"/>
      <c r="I57" s="8"/>
      <c r="J57" s="361" t="str">
        <f>IF(C57&lt;0.4*C56,"Asymmetrical lay-up: skin too thin in comparison, see T3.4.4.","")</f>
        <v/>
      </c>
      <c r="K57" s="8"/>
      <c r="L57" s="8"/>
      <c r="M57" s="8"/>
      <c r="N57" s="8"/>
      <c r="O57" s="10"/>
      <c r="P57" s="10"/>
      <c r="Q57" s="10"/>
      <c r="R57" s="10"/>
      <c r="S57" s="11"/>
      <c r="T57" s="9"/>
      <c r="U57" s="1199"/>
      <c r="V57" s="1199"/>
      <c r="W57" s="1199"/>
      <c r="X57" s="1199"/>
      <c r="Y57" s="1199"/>
      <c r="Z57" s="1199"/>
      <c r="AA57" s="1199"/>
      <c r="AB57" s="1199"/>
      <c r="AC57" s="1199"/>
      <c r="AD57" s="1199"/>
      <c r="AE57" s="1199"/>
      <c r="AF57" s="1199"/>
      <c r="AG57" s="1199"/>
      <c r="AH57" s="1199"/>
      <c r="AI57" s="1199"/>
      <c r="AJ57" s="1199"/>
      <c r="AK57" s="1199"/>
      <c r="AL57" s="85"/>
    </row>
    <row r="58" spans="1:38" ht="14.25">
      <c r="A58" s="90"/>
      <c r="B58" s="87" t="s">
        <v>269</v>
      </c>
      <c r="C58" s="1192">
        <f>(C54*(((C55+C56+C57)^3)-(C55^3)))/12</f>
        <v>0</v>
      </c>
      <c r="D58" s="1193"/>
      <c r="E58" s="8" t="s">
        <v>270</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271</v>
      </c>
      <c r="C59" s="1188">
        <f>IF(C47&gt;0,0.001*((N46*(C47-C46)*C53^3)/(48*C58*(C47-C46))),0)</f>
        <v>0</v>
      </c>
      <c r="D59" s="1189"/>
      <c r="E59" s="8" t="s">
        <v>272</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273</v>
      </c>
      <c r="C60" s="1190" t="e">
        <f>C50*C53*0.5*SUM(C55:D57)/(4*C58)</f>
        <v>#DIV/0!</v>
      </c>
      <c r="D60" s="1191"/>
      <c r="E60" s="93" t="s">
        <v>274</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39" t="s">
        <v>275</v>
      </c>
      <c r="S61" s="15"/>
      <c r="T61" s="539" t="s">
        <v>275</v>
      </c>
      <c r="AL61" s="15"/>
    </row>
    <row r="62" spans="1:38">
      <c r="A62" s="8" t="s">
        <v>276</v>
      </c>
      <c r="S62" s="15"/>
      <c r="T62" s="8" t="s">
        <v>276</v>
      </c>
      <c r="AL62" s="15"/>
    </row>
    <row r="63" spans="1:38">
      <c r="A63" s="8" t="s">
        <v>277</v>
      </c>
      <c r="B63" s="104"/>
      <c r="C63" s="104"/>
      <c r="D63" s="104"/>
      <c r="E63" s="104"/>
      <c r="F63" s="104"/>
      <c r="G63" s="104"/>
      <c r="H63" s="104"/>
      <c r="I63" s="104"/>
      <c r="J63" s="104"/>
      <c r="K63" s="104"/>
      <c r="L63" s="104"/>
      <c r="M63" s="104"/>
      <c r="N63" s="104"/>
      <c r="O63" s="104"/>
      <c r="P63" s="104"/>
      <c r="Q63" s="104"/>
      <c r="R63" s="104"/>
      <c r="S63" s="147"/>
      <c r="T63" s="8" t="s">
        <v>277</v>
      </c>
      <c r="U63" s="104"/>
      <c r="V63" s="104"/>
      <c r="W63" s="104"/>
      <c r="X63" s="104"/>
      <c r="Y63" s="104"/>
      <c r="Z63" s="104"/>
      <c r="AA63" s="104"/>
      <c r="AB63" s="104"/>
      <c r="AC63" s="104"/>
      <c r="AD63" s="104"/>
      <c r="AE63" s="104"/>
      <c r="AF63" s="104"/>
      <c r="AG63" s="104"/>
      <c r="AH63" s="104"/>
      <c r="AI63" s="104"/>
      <c r="AJ63" s="104"/>
      <c r="AK63" s="104"/>
      <c r="AL63" s="147"/>
    </row>
    <row r="64" spans="1:38">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3.25">
      <c r="A65" s="146"/>
      <c r="B65" s="541"/>
      <c r="C65" s="737" t="s">
        <v>278</v>
      </c>
      <c r="D65" s="738" t="s">
        <v>279</v>
      </c>
      <c r="H65" s="1218"/>
      <c r="I65" s="1218"/>
      <c r="J65" s="1010"/>
      <c r="K65" s="1010"/>
      <c r="L65" s="1010"/>
      <c r="M65" s="1010"/>
      <c r="N65" s="1010"/>
      <c r="S65" s="15"/>
      <c r="T65" s="4"/>
      <c r="U65" s="541"/>
      <c r="V65" s="737" t="s">
        <v>278</v>
      </c>
      <c r="W65" s="738" t="s">
        <v>279</v>
      </c>
      <c r="AA65" s="1219"/>
      <c r="AB65" s="1219"/>
      <c r="AL65" s="15"/>
    </row>
    <row r="66" spans="1:38" ht="14.25">
      <c r="A66" s="146"/>
      <c r="B66" s="542">
        <v>1</v>
      </c>
      <c r="C66" s="824"/>
      <c r="D66" s="825"/>
      <c r="G66" s="514"/>
      <c r="H66" s="1017"/>
      <c r="I66" s="1017"/>
      <c r="J66" s="1010" t="s">
        <v>284</v>
      </c>
      <c r="K66" s="1010"/>
      <c r="L66" s="1010" cm="1">
        <f t="array" ref="L66">MATCH(MIN(ABS(C66:C365-C50)),ABS(C66:C365-C50),0)</f>
        <v>1</v>
      </c>
      <c r="M66" s="1010"/>
      <c r="N66" s="1010"/>
      <c r="S66" s="15"/>
      <c r="T66" s="4"/>
      <c r="U66" s="542">
        <v>1</v>
      </c>
      <c r="V66" s="824"/>
      <c r="W66" s="825"/>
      <c r="Z66" s="514"/>
      <c r="AA66" s="540"/>
      <c r="AB66" s="540"/>
      <c r="AL66" s="15"/>
    </row>
    <row r="67" spans="1:38">
      <c r="A67" s="146"/>
      <c r="B67" s="542">
        <v>2</v>
      </c>
      <c r="C67" s="826"/>
      <c r="D67" s="827"/>
      <c r="G67" s="1016"/>
      <c r="H67" s="1010"/>
      <c r="I67" s="1010"/>
      <c r="J67" s="1010" t="s">
        <v>283</v>
      </c>
      <c r="K67" s="1010"/>
      <c r="L67" s="1010" cm="1">
        <f t="array" ref="L67">INDEX(C66:E393,L66,2)</f>
        <v>0</v>
      </c>
      <c r="M67" s="1010"/>
      <c r="N67" s="1010"/>
      <c r="S67" s="15"/>
      <c r="T67" s="4"/>
      <c r="U67" s="542">
        <v>2</v>
      </c>
      <c r="V67" s="826"/>
      <c r="W67" s="827"/>
      <c r="Z67" s="1016"/>
      <c r="AL67" s="15"/>
    </row>
    <row r="68" spans="1:38">
      <c r="A68" s="146"/>
      <c r="B68" s="542">
        <v>3</v>
      </c>
      <c r="C68" s="826"/>
      <c r="D68" s="827"/>
      <c r="G68" s="1016"/>
      <c r="H68" s="1010"/>
      <c r="I68" s="1010"/>
      <c r="J68" s="1010"/>
      <c r="K68" s="1010"/>
      <c r="L68" s="1010"/>
      <c r="M68" s="1010"/>
      <c r="N68" s="1010"/>
      <c r="S68" s="15"/>
      <c r="T68" s="4"/>
      <c r="U68" s="542">
        <v>3</v>
      </c>
      <c r="V68" s="826"/>
      <c r="W68" s="827"/>
      <c r="Z68" s="1016"/>
      <c r="AL68" s="15"/>
    </row>
    <row r="69" spans="1:38">
      <c r="A69" s="146"/>
      <c r="B69" s="542">
        <v>4</v>
      </c>
      <c r="C69" s="826"/>
      <c r="D69" s="827"/>
      <c r="H69" s="1010"/>
      <c r="I69" s="1010"/>
      <c r="J69" s="1010"/>
      <c r="K69" s="1010"/>
      <c r="L69" s="1010"/>
      <c r="M69" s="1010"/>
      <c r="N69" s="1010"/>
      <c r="S69" s="15"/>
      <c r="T69" s="4"/>
      <c r="U69" s="542">
        <v>4</v>
      </c>
      <c r="V69" s="826"/>
      <c r="W69" s="827"/>
      <c r="AL69" s="15"/>
    </row>
    <row r="70" spans="1:38">
      <c r="A70" s="146"/>
      <c r="B70" s="542">
        <v>5</v>
      </c>
      <c r="C70" s="826"/>
      <c r="D70" s="827"/>
      <c r="H70" s="1010"/>
      <c r="I70" s="1010"/>
      <c r="J70" s="1010"/>
      <c r="K70" s="1010"/>
      <c r="L70" s="1010"/>
      <c r="M70" s="1010"/>
      <c r="N70" s="1010"/>
      <c r="S70" s="15"/>
      <c r="T70" s="4"/>
      <c r="U70" s="542">
        <v>5</v>
      </c>
      <c r="V70" s="826"/>
      <c r="W70" s="827"/>
      <c r="AL70" s="15"/>
    </row>
    <row r="71" spans="1:38">
      <c r="A71" s="146"/>
      <c r="B71" s="542">
        <v>6</v>
      </c>
      <c r="C71" s="826"/>
      <c r="D71" s="827"/>
      <c r="H71" s="1010"/>
      <c r="I71" s="1010"/>
      <c r="J71" s="1010"/>
      <c r="K71" s="1010"/>
      <c r="L71" s="1010"/>
      <c r="M71" s="1010"/>
      <c r="N71" s="1010"/>
      <c r="S71" s="15"/>
      <c r="T71" s="4"/>
      <c r="U71" s="542">
        <v>6</v>
      </c>
      <c r="V71" s="826"/>
      <c r="W71" s="827"/>
      <c r="AL71" s="15"/>
    </row>
    <row r="72" spans="1:38">
      <c r="A72" s="146"/>
      <c r="B72" s="542">
        <v>7</v>
      </c>
      <c r="C72" s="826"/>
      <c r="D72" s="827"/>
      <c r="H72" s="1010"/>
      <c r="I72" s="1010"/>
      <c r="J72" s="1010"/>
      <c r="K72" s="1010"/>
      <c r="L72" s="1010"/>
      <c r="M72" s="1010"/>
      <c r="N72" s="1010"/>
      <c r="S72" s="15"/>
      <c r="T72" s="4"/>
      <c r="U72" s="542">
        <v>7</v>
      </c>
      <c r="V72" s="826"/>
      <c r="W72" s="827"/>
      <c r="AL72" s="15"/>
    </row>
    <row r="73" spans="1:38">
      <c r="A73" s="146"/>
      <c r="B73" s="542">
        <v>8</v>
      </c>
      <c r="C73" s="826"/>
      <c r="D73" s="827"/>
      <c r="S73" s="15"/>
      <c r="T73" s="4"/>
      <c r="U73" s="542">
        <v>8</v>
      </c>
      <c r="V73" s="826"/>
      <c r="W73" s="827"/>
      <c r="AL73" s="15"/>
    </row>
    <row r="74" spans="1:38">
      <c r="A74" s="146"/>
      <c r="B74" s="542">
        <v>9</v>
      </c>
      <c r="C74" s="826"/>
      <c r="D74" s="827"/>
      <c r="S74" s="15"/>
      <c r="T74" s="4"/>
      <c r="U74" s="542">
        <v>9</v>
      </c>
      <c r="V74" s="826"/>
      <c r="W74" s="827"/>
      <c r="AL74" s="15"/>
    </row>
    <row r="75" spans="1:38">
      <c r="A75" s="146"/>
      <c r="B75" s="542">
        <v>10</v>
      </c>
      <c r="C75" s="826"/>
      <c r="D75" s="827"/>
      <c r="S75" s="15"/>
      <c r="T75" s="4"/>
      <c r="U75" s="542">
        <v>10</v>
      </c>
      <c r="V75" s="826"/>
      <c r="W75" s="827"/>
      <c r="AL75" s="15"/>
    </row>
    <row r="76" spans="1:38">
      <c r="A76" s="146"/>
      <c r="B76" s="542">
        <v>11</v>
      </c>
      <c r="C76" s="826"/>
      <c r="D76" s="827"/>
      <c r="S76" s="15"/>
      <c r="T76" s="4"/>
      <c r="U76" s="542">
        <v>11</v>
      </c>
      <c r="V76" s="826"/>
      <c r="W76" s="827"/>
      <c r="AL76" s="15"/>
    </row>
    <row r="77" spans="1:38">
      <c r="A77" s="146"/>
      <c r="B77" s="542">
        <v>12</v>
      </c>
      <c r="C77" s="826"/>
      <c r="D77" s="827"/>
      <c r="S77" s="15"/>
      <c r="T77" s="4"/>
      <c r="U77" s="542">
        <v>12</v>
      </c>
      <c r="V77" s="826"/>
      <c r="W77" s="827"/>
      <c r="AL77" s="15"/>
    </row>
    <row r="78" spans="1:38">
      <c r="A78" s="146"/>
      <c r="B78" s="542">
        <v>13</v>
      </c>
      <c r="C78" s="826"/>
      <c r="D78" s="827"/>
      <c r="S78" s="15"/>
      <c r="T78" s="4"/>
      <c r="U78" s="542">
        <v>13</v>
      </c>
      <c r="V78" s="826"/>
      <c r="W78" s="827"/>
      <c r="AL78" s="15"/>
    </row>
    <row r="79" spans="1:38">
      <c r="A79" s="146"/>
      <c r="B79" s="542">
        <v>14</v>
      </c>
      <c r="C79" s="826"/>
      <c r="D79" s="827"/>
      <c r="S79" s="15"/>
      <c r="T79" s="4"/>
      <c r="U79" s="542">
        <v>14</v>
      </c>
      <c r="V79" s="826"/>
      <c r="W79" s="827"/>
      <c r="AL79" s="15"/>
    </row>
    <row r="80" spans="1:38">
      <c r="A80" s="146"/>
      <c r="B80" s="542">
        <v>15</v>
      </c>
      <c r="C80" s="826"/>
      <c r="D80" s="827"/>
      <c r="S80" s="15"/>
      <c r="T80" s="4"/>
      <c r="U80" s="542">
        <v>15</v>
      </c>
      <c r="V80" s="826"/>
      <c r="W80" s="827"/>
      <c r="AL80" s="15"/>
    </row>
    <row r="81" spans="1:38">
      <c r="A81" s="146"/>
      <c r="B81" s="542">
        <v>16</v>
      </c>
      <c r="C81" s="826"/>
      <c r="D81" s="827"/>
      <c r="S81" s="15"/>
      <c r="T81" s="4"/>
      <c r="U81" s="542">
        <v>16</v>
      </c>
      <c r="V81" s="826"/>
      <c r="W81" s="827"/>
      <c r="AL81" s="15"/>
    </row>
    <row r="82" spans="1:38">
      <c r="A82" s="146"/>
      <c r="B82" s="542">
        <v>17</v>
      </c>
      <c r="C82" s="826"/>
      <c r="D82" s="827"/>
      <c r="S82" s="15"/>
      <c r="T82" s="4"/>
      <c r="U82" s="542">
        <v>17</v>
      </c>
      <c r="V82" s="826"/>
      <c r="W82" s="827"/>
      <c r="AL82" s="15"/>
    </row>
    <row r="83" spans="1:38">
      <c r="A83" s="146"/>
      <c r="B83" s="542">
        <v>18</v>
      </c>
      <c r="C83" s="826"/>
      <c r="D83" s="827"/>
      <c r="S83" s="15"/>
      <c r="T83" s="4"/>
      <c r="U83" s="542">
        <v>18</v>
      </c>
      <c r="V83" s="826"/>
      <c r="W83" s="827"/>
      <c r="AL83" s="15"/>
    </row>
    <row r="84" spans="1:38">
      <c r="A84" s="146"/>
      <c r="B84" s="542">
        <v>19</v>
      </c>
      <c r="C84" s="826"/>
      <c r="D84" s="827"/>
      <c r="S84" s="15"/>
      <c r="T84" s="4"/>
      <c r="U84" s="542">
        <v>19</v>
      </c>
      <c r="V84" s="826"/>
      <c r="W84" s="827"/>
      <c r="AL84" s="15"/>
    </row>
    <row r="85" spans="1:38">
      <c r="A85" s="146"/>
      <c r="B85" s="542">
        <v>20</v>
      </c>
      <c r="C85" s="826"/>
      <c r="D85" s="827"/>
      <c r="S85" s="15"/>
      <c r="T85" s="4"/>
      <c r="U85" s="542">
        <v>20</v>
      </c>
      <c r="V85" s="826"/>
      <c r="W85" s="827"/>
      <c r="AL85" s="15"/>
    </row>
    <row r="86" spans="1:38">
      <c r="A86" s="146"/>
      <c r="B86" s="542">
        <v>21</v>
      </c>
      <c r="C86" s="826"/>
      <c r="D86" s="827"/>
      <c r="S86" s="15"/>
      <c r="T86" s="4"/>
      <c r="U86" s="542">
        <v>21</v>
      </c>
      <c r="V86" s="826"/>
      <c r="W86" s="827"/>
      <c r="AL86" s="15"/>
    </row>
    <row r="87" spans="1:38">
      <c r="A87" s="146"/>
      <c r="B87" s="542">
        <v>22</v>
      </c>
      <c r="C87" s="826"/>
      <c r="D87" s="827"/>
      <c r="S87" s="15"/>
      <c r="T87" s="4"/>
      <c r="U87" s="542">
        <v>22</v>
      </c>
      <c r="V87" s="826"/>
      <c r="W87" s="827"/>
      <c r="AL87" s="15"/>
    </row>
    <row r="88" spans="1:38">
      <c r="A88" s="146"/>
      <c r="B88" s="542">
        <v>23</v>
      </c>
      <c r="C88" s="826"/>
      <c r="D88" s="827"/>
      <c r="S88" s="15"/>
      <c r="T88" s="4"/>
      <c r="U88" s="542">
        <v>23</v>
      </c>
      <c r="V88" s="826"/>
      <c r="W88" s="827"/>
      <c r="AL88" s="15"/>
    </row>
    <row r="89" spans="1:38">
      <c r="A89" s="146"/>
      <c r="B89" s="542">
        <v>24</v>
      </c>
      <c r="C89" s="826"/>
      <c r="D89" s="827"/>
      <c r="S89" s="15"/>
      <c r="T89" s="4"/>
      <c r="U89" s="542">
        <v>24</v>
      </c>
      <c r="V89" s="826"/>
      <c r="W89" s="827"/>
      <c r="AL89" s="15"/>
    </row>
    <row r="90" spans="1:38">
      <c r="A90" s="146"/>
      <c r="B90" s="542">
        <v>25</v>
      </c>
      <c r="C90" s="826"/>
      <c r="D90" s="827"/>
      <c r="S90" s="15"/>
      <c r="T90" s="4"/>
      <c r="U90" s="542">
        <v>25</v>
      </c>
      <c r="V90" s="826"/>
      <c r="W90" s="827"/>
      <c r="AL90" s="15"/>
    </row>
    <row r="91" spans="1:38">
      <c r="A91" s="146"/>
      <c r="B91" s="542">
        <v>26</v>
      </c>
      <c r="C91" s="826"/>
      <c r="D91" s="827"/>
      <c r="S91" s="15"/>
      <c r="T91" s="4"/>
      <c r="U91" s="542">
        <v>26</v>
      </c>
      <c r="V91" s="826"/>
      <c r="W91" s="827"/>
      <c r="AL91" s="15"/>
    </row>
    <row r="92" spans="1:38">
      <c r="A92" s="146"/>
      <c r="B92" s="542">
        <v>27</v>
      </c>
      <c r="C92" s="826"/>
      <c r="D92" s="827"/>
      <c r="S92" s="15"/>
      <c r="T92" s="4"/>
      <c r="U92" s="542">
        <v>27</v>
      </c>
      <c r="V92" s="826"/>
      <c r="W92" s="827"/>
      <c r="AL92" s="15"/>
    </row>
    <row r="93" spans="1:38">
      <c r="A93" s="146"/>
      <c r="B93" s="542">
        <v>28</v>
      </c>
      <c r="C93" s="826"/>
      <c r="D93" s="827"/>
      <c r="S93" s="15"/>
      <c r="T93" s="4"/>
      <c r="U93" s="542">
        <v>28</v>
      </c>
      <c r="V93" s="826"/>
      <c r="W93" s="827"/>
      <c r="AL93" s="15"/>
    </row>
    <row r="94" spans="1:38">
      <c r="A94" s="146"/>
      <c r="B94" s="542">
        <v>29</v>
      </c>
      <c r="C94" s="826"/>
      <c r="D94" s="827"/>
      <c r="S94" s="15"/>
      <c r="T94" s="4"/>
      <c r="U94" s="542">
        <v>29</v>
      </c>
      <c r="V94" s="826"/>
      <c r="W94" s="827"/>
      <c r="AL94" s="15"/>
    </row>
    <row r="95" spans="1:38">
      <c r="A95" s="146"/>
      <c r="B95" s="542">
        <v>30</v>
      </c>
      <c r="C95" s="826"/>
      <c r="D95" s="827"/>
      <c r="S95" s="15"/>
      <c r="T95" s="4"/>
      <c r="U95" s="542">
        <v>30</v>
      </c>
      <c r="V95" s="826"/>
      <c r="W95" s="827"/>
      <c r="AL95" s="15"/>
    </row>
    <row r="96" spans="1:38">
      <c r="A96" s="146"/>
      <c r="B96" s="542">
        <v>31</v>
      </c>
      <c r="C96" s="826"/>
      <c r="D96" s="827"/>
      <c r="S96" s="15"/>
      <c r="T96" s="4"/>
      <c r="U96" s="542">
        <v>31</v>
      </c>
      <c r="V96" s="826"/>
      <c r="W96" s="827"/>
      <c r="AL96" s="15"/>
    </row>
    <row r="97" spans="1:38">
      <c r="A97" s="146"/>
      <c r="B97" s="542">
        <v>32</v>
      </c>
      <c r="C97" s="826"/>
      <c r="D97" s="827"/>
      <c r="S97" s="15"/>
      <c r="T97" s="4"/>
      <c r="U97" s="542">
        <v>32</v>
      </c>
      <c r="V97" s="826"/>
      <c r="W97" s="827"/>
      <c r="AL97" s="15"/>
    </row>
    <row r="98" spans="1:38">
      <c r="A98" s="146"/>
      <c r="B98" s="542">
        <v>33</v>
      </c>
      <c r="C98" s="826"/>
      <c r="D98" s="827"/>
      <c r="S98" s="15"/>
      <c r="T98" s="4"/>
      <c r="U98" s="542">
        <v>33</v>
      </c>
      <c r="V98" s="826"/>
      <c r="W98" s="827"/>
      <c r="AL98" s="15"/>
    </row>
    <row r="99" spans="1:38">
      <c r="A99" s="146"/>
      <c r="B99" s="542">
        <v>34</v>
      </c>
      <c r="C99" s="826"/>
      <c r="D99" s="827"/>
      <c r="S99" s="15"/>
      <c r="T99" s="4"/>
      <c r="U99" s="542">
        <v>34</v>
      </c>
      <c r="V99" s="826"/>
      <c r="W99" s="827"/>
      <c r="AL99" s="15"/>
    </row>
    <row r="100" spans="1:38">
      <c r="A100" s="146"/>
      <c r="B100" s="542">
        <v>35</v>
      </c>
      <c r="C100" s="826"/>
      <c r="D100" s="827"/>
      <c r="S100" s="15"/>
      <c r="T100" s="4"/>
      <c r="U100" s="542">
        <v>35</v>
      </c>
      <c r="V100" s="826"/>
      <c r="W100" s="827"/>
      <c r="AL100" s="15"/>
    </row>
    <row r="101" spans="1:38">
      <c r="A101" s="146"/>
      <c r="B101" s="542">
        <v>36</v>
      </c>
      <c r="C101" s="826"/>
      <c r="D101" s="827"/>
      <c r="S101" s="15"/>
      <c r="T101" s="4"/>
      <c r="U101" s="542">
        <v>36</v>
      </c>
      <c r="V101" s="826"/>
      <c r="W101" s="827"/>
      <c r="AL101" s="15"/>
    </row>
    <row r="102" spans="1:38">
      <c r="A102" s="146"/>
      <c r="B102" s="542">
        <v>37</v>
      </c>
      <c r="C102" s="826"/>
      <c r="D102" s="827"/>
      <c r="S102" s="15"/>
      <c r="T102" s="4"/>
      <c r="U102" s="542">
        <v>37</v>
      </c>
      <c r="V102" s="826"/>
      <c r="W102" s="827"/>
      <c r="AL102" s="15"/>
    </row>
    <row r="103" spans="1:38">
      <c r="A103" s="146"/>
      <c r="B103" s="542">
        <v>38</v>
      </c>
      <c r="C103" s="826"/>
      <c r="D103" s="827"/>
      <c r="S103" s="15"/>
      <c r="T103" s="4"/>
      <c r="U103" s="542">
        <v>38</v>
      </c>
      <c r="V103" s="826"/>
      <c r="W103" s="827"/>
      <c r="AL103" s="15"/>
    </row>
    <row r="104" spans="1:38">
      <c r="A104" s="146"/>
      <c r="B104" s="542">
        <v>39</v>
      </c>
      <c r="C104" s="826"/>
      <c r="D104" s="827"/>
      <c r="S104" s="15"/>
      <c r="T104" s="4"/>
      <c r="U104" s="542">
        <v>39</v>
      </c>
      <c r="V104" s="826"/>
      <c r="W104" s="827"/>
      <c r="AL104" s="15"/>
    </row>
    <row r="105" spans="1:38">
      <c r="A105" s="146"/>
      <c r="B105" s="542">
        <v>40</v>
      </c>
      <c r="C105" s="826"/>
      <c r="D105" s="827"/>
      <c r="S105" s="15"/>
      <c r="T105" s="4"/>
      <c r="U105" s="542">
        <v>40</v>
      </c>
      <c r="V105" s="826"/>
      <c r="W105" s="827"/>
      <c r="AL105" s="15"/>
    </row>
    <row r="106" spans="1:38">
      <c r="A106" s="146"/>
      <c r="B106" s="542">
        <v>41</v>
      </c>
      <c r="C106" s="826"/>
      <c r="D106" s="827"/>
      <c r="S106" s="15"/>
      <c r="T106" s="4"/>
      <c r="U106" s="542">
        <v>41</v>
      </c>
      <c r="V106" s="826"/>
      <c r="W106" s="827"/>
      <c r="AL106" s="15"/>
    </row>
    <row r="107" spans="1:38">
      <c r="A107" s="146"/>
      <c r="B107" s="542">
        <v>42</v>
      </c>
      <c r="C107" s="826"/>
      <c r="D107" s="827"/>
      <c r="S107" s="15"/>
      <c r="T107" s="4"/>
      <c r="U107" s="542">
        <v>42</v>
      </c>
      <c r="V107" s="826"/>
      <c r="W107" s="827"/>
      <c r="AL107" s="15"/>
    </row>
    <row r="108" spans="1:38">
      <c r="A108" s="146"/>
      <c r="B108" s="542">
        <v>43</v>
      </c>
      <c r="C108" s="826"/>
      <c r="D108" s="827"/>
      <c r="S108" s="15"/>
      <c r="T108" s="4"/>
      <c r="U108" s="542">
        <v>43</v>
      </c>
      <c r="V108" s="826"/>
      <c r="W108" s="827"/>
      <c r="AL108" s="15"/>
    </row>
    <row r="109" spans="1:38">
      <c r="A109" s="146"/>
      <c r="B109" s="542">
        <v>44</v>
      </c>
      <c r="C109" s="826"/>
      <c r="D109" s="827"/>
      <c r="S109" s="15"/>
      <c r="T109" s="4"/>
      <c r="U109" s="542">
        <v>44</v>
      </c>
      <c r="V109" s="826"/>
      <c r="W109" s="827"/>
      <c r="AL109" s="15"/>
    </row>
    <row r="110" spans="1:38">
      <c r="A110" s="146"/>
      <c r="B110" s="542">
        <v>45</v>
      </c>
      <c r="C110" s="826"/>
      <c r="D110" s="827"/>
      <c r="S110" s="15"/>
      <c r="T110" s="4"/>
      <c r="U110" s="542">
        <v>45</v>
      </c>
      <c r="V110" s="826"/>
      <c r="W110" s="827"/>
      <c r="AL110" s="15"/>
    </row>
    <row r="111" spans="1:38">
      <c r="A111" s="146"/>
      <c r="B111" s="542">
        <v>46</v>
      </c>
      <c r="C111" s="826"/>
      <c r="D111" s="827"/>
      <c r="S111" s="15"/>
      <c r="T111" s="4"/>
      <c r="U111" s="542">
        <v>46</v>
      </c>
      <c r="V111" s="826"/>
      <c r="W111" s="827"/>
      <c r="AL111" s="15"/>
    </row>
    <row r="112" spans="1:38">
      <c r="A112" s="146"/>
      <c r="B112" s="542">
        <v>47</v>
      </c>
      <c r="C112" s="826"/>
      <c r="D112" s="827"/>
      <c r="S112" s="15"/>
      <c r="T112" s="4"/>
      <c r="U112" s="542">
        <v>47</v>
      </c>
      <c r="V112" s="826"/>
      <c r="W112" s="827"/>
      <c r="AL112" s="15"/>
    </row>
    <row r="113" spans="1:38">
      <c r="A113" s="146"/>
      <c r="B113" s="542">
        <v>48</v>
      </c>
      <c r="C113" s="826"/>
      <c r="D113" s="827"/>
      <c r="S113" s="15"/>
      <c r="T113" s="4"/>
      <c r="U113" s="542">
        <v>48</v>
      </c>
      <c r="V113" s="826"/>
      <c r="W113" s="827"/>
      <c r="AL113" s="15"/>
    </row>
    <row r="114" spans="1:38">
      <c r="A114" s="146"/>
      <c r="B114" s="542">
        <v>49</v>
      </c>
      <c r="C114" s="826"/>
      <c r="D114" s="827"/>
      <c r="S114" s="15"/>
      <c r="T114" s="4"/>
      <c r="U114" s="542">
        <v>49</v>
      </c>
      <c r="V114" s="826"/>
      <c r="W114" s="827"/>
      <c r="AL114" s="15"/>
    </row>
    <row r="115" spans="1:38">
      <c r="A115" s="146"/>
      <c r="B115" s="542">
        <v>50</v>
      </c>
      <c r="C115" s="826"/>
      <c r="D115" s="827"/>
      <c r="S115" s="15"/>
      <c r="T115" s="4"/>
      <c r="U115" s="542">
        <v>50</v>
      </c>
      <c r="V115" s="826"/>
      <c r="W115" s="827"/>
      <c r="AL115" s="15"/>
    </row>
    <row r="116" spans="1:38">
      <c r="A116" s="146"/>
      <c r="B116" s="542">
        <v>51</v>
      </c>
      <c r="C116" s="826"/>
      <c r="D116" s="827"/>
      <c r="S116" s="15"/>
      <c r="T116" s="4"/>
      <c r="U116" s="542">
        <v>51</v>
      </c>
      <c r="V116" s="826"/>
      <c r="W116" s="827"/>
      <c r="AL116" s="15"/>
    </row>
    <row r="117" spans="1:38">
      <c r="A117" s="146"/>
      <c r="B117" s="542">
        <v>52</v>
      </c>
      <c r="C117" s="826"/>
      <c r="D117" s="827"/>
      <c r="S117" s="15"/>
      <c r="T117" s="4"/>
      <c r="U117" s="542">
        <v>52</v>
      </c>
      <c r="V117" s="826"/>
      <c r="W117" s="827"/>
      <c r="AL117" s="15"/>
    </row>
    <row r="118" spans="1:38">
      <c r="A118" s="146"/>
      <c r="B118" s="542">
        <v>53</v>
      </c>
      <c r="C118" s="826"/>
      <c r="D118" s="827"/>
      <c r="S118" s="15"/>
      <c r="T118" s="4"/>
      <c r="U118" s="542">
        <v>53</v>
      </c>
      <c r="V118" s="826"/>
      <c r="W118" s="827"/>
      <c r="AL118" s="15"/>
    </row>
    <row r="119" spans="1:38">
      <c r="A119" s="146"/>
      <c r="B119" s="542">
        <v>54</v>
      </c>
      <c r="C119" s="826"/>
      <c r="D119" s="827"/>
      <c r="S119" s="15"/>
      <c r="T119" s="4"/>
      <c r="U119" s="542">
        <v>54</v>
      </c>
      <c r="V119" s="826"/>
      <c r="W119" s="827"/>
      <c r="AL119" s="15"/>
    </row>
    <row r="120" spans="1:38">
      <c r="A120" s="146"/>
      <c r="B120" s="542">
        <v>55</v>
      </c>
      <c r="C120" s="826"/>
      <c r="D120" s="827"/>
      <c r="S120" s="15"/>
      <c r="T120" s="4"/>
      <c r="U120" s="542">
        <v>55</v>
      </c>
      <c r="V120" s="826"/>
      <c r="W120" s="827"/>
      <c r="AL120" s="15"/>
    </row>
    <row r="121" spans="1:38">
      <c r="A121" s="146"/>
      <c r="B121" s="542">
        <v>56</v>
      </c>
      <c r="C121" s="826"/>
      <c r="D121" s="827"/>
      <c r="S121" s="15"/>
      <c r="T121" s="4"/>
      <c r="U121" s="542">
        <v>56</v>
      </c>
      <c r="V121" s="826"/>
      <c r="W121" s="827"/>
      <c r="AL121" s="15"/>
    </row>
    <row r="122" spans="1:38">
      <c r="A122" s="146"/>
      <c r="B122" s="542">
        <v>57</v>
      </c>
      <c r="C122" s="826"/>
      <c r="D122" s="827"/>
      <c r="S122" s="15"/>
      <c r="T122" s="4"/>
      <c r="U122" s="542">
        <v>57</v>
      </c>
      <c r="V122" s="826"/>
      <c r="W122" s="827"/>
      <c r="AL122" s="15"/>
    </row>
    <row r="123" spans="1:38">
      <c r="A123" s="146"/>
      <c r="B123" s="542">
        <v>58</v>
      </c>
      <c r="C123" s="826"/>
      <c r="D123" s="827"/>
      <c r="S123" s="15"/>
      <c r="T123" s="4"/>
      <c r="U123" s="542">
        <v>58</v>
      </c>
      <c r="V123" s="826"/>
      <c r="W123" s="827"/>
      <c r="AL123" s="15"/>
    </row>
    <row r="124" spans="1:38">
      <c r="A124" s="146"/>
      <c r="B124" s="542">
        <v>59</v>
      </c>
      <c r="C124" s="826"/>
      <c r="D124" s="827"/>
      <c r="S124" s="15"/>
      <c r="T124" s="4"/>
      <c r="U124" s="542">
        <v>59</v>
      </c>
      <c r="V124" s="826"/>
      <c r="W124" s="827"/>
      <c r="AL124" s="15"/>
    </row>
    <row r="125" spans="1:38">
      <c r="A125" s="146"/>
      <c r="B125" s="542">
        <v>60</v>
      </c>
      <c r="C125" s="826"/>
      <c r="D125" s="827"/>
      <c r="S125" s="15"/>
      <c r="T125" s="4"/>
      <c r="U125" s="542">
        <v>60</v>
      </c>
      <c r="V125" s="826"/>
      <c r="W125" s="827"/>
      <c r="AL125" s="15"/>
    </row>
    <row r="126" spans="1:38">
      <c r="A126" s="146"/>
      <c r="B126" s="542">
        <v>61</v>
      </c>
      <c r="C126" s="826"/>
      <c r="D126" s="827"/>
      <c r="S126" s="15"/>
      <c r="T126" s="4"/>
      <c r="U126" s="542">
        <v>61</v>
      </c>
      <c r="V126" s="826"/>
      <c r="W126" s="827"/>
      <c r="AL126" s="15"/>
    </row>
    <row r="127" spans="1:38">
      <c r="A127" s="146"/>
      <c r="B127" s="542">
        <v>62</v>
      </c>
      <c r="C127" s="826"/>
      <c r="D127" s="827"/>
      <c r="S127" s="15"/>
      <c r="T127" s="4"/>
      <c r="U127" s="542">
        <v>62</v>
      </c>
      <c r="V127" s="826"/>
      <c r="W127" s="827"/>
      <c r="AL127" s="15"/>
    </row>
    <row r="128" spans="1:38">
      <c r="A128" s="146"/>
      <c r="B128" s="542">
        <v>63</v>
      </c>
      <c r="C128" s="826"/>
      <c r="D128" s="827"/>
      <c r="S128" s="15"/>
      <c r="T128" s="4"/>
      <c r="U128" s="542">
        <v>63</v>
      </c>
      <c r="V128" s="826"/>
      <c r="W128" s="827"/>
      <c r="AL128" s="15"/>
    </row>
    <row r="129" spans="1:38">
      <c r="A129" s="146"/>
      <c r="B129" s="542">
        <v>64</v>
      </c>
      <c r="C129" s="826"/>
      <c r="D129" s="827"/>
      <c r="S129" s="15"/>
      <c r="T129" s="4"/>
      <c r="U129" s="542">
        <v>64</v>
      </c>
      <c r="V129" s="826"/>
      <c r="W129" s="827"/>
      <c r="AL129" s="15"/>
    </row>
    <row r="130" spans="1:38">
      <c r="A130" s="146"/>
      <c r="B130" s="542">
        <v>65</v>
      </c>
      <c r="C130" s="826"/>
      <c r="D130" s="827"/>
      <c r="S130" s="15"/>
      <c r="T130" s="4"/>
      <c r="U130" s="542">
        <v>65</v>
      </c>
      <c r="V130" s="826"/>
      <c r="W130" s="827"/>
      <c r="AL130" s="15"/>
    </row>
    <row r="131" spans="1:38">
      <c r="A131" s="146"/>
      <c r="B131" s="542">
        <v>66</v>
      </c>
      <c r="C131" s="826"/>
      <c r="D131" s="827"/>
      <c r="S131" s="15"/>
      <c r="T131" s="4"/>
      <c r="U131" s="542">
        <v>66</v>
      </c>
      <c r="V131" s="826"/>
      <c r="W131" s="827"/>
      <c r="AL131" s="15"/>
    </row>
    <row r="132" spans="1:38">
      <c r="A132" s="146"/>
      <c r="B132" s="542">
        <v>67</v>
      </c>
      <c r="C132" s="826"/>
      <c r="D132" s="827"/>
      <c r="S132" s="15"/>
      <c r="T132" s="4"/>
      <c r="U132" s="542">
        <v>67</v>
      </c>
      <c r="V132" s="826"/>
      <c r="W132" s="827"/>
      <c r="AL132" s="15"/>
    </row>
    <row r="133" spans="1:38">
      <c r="A133" s="146"/>
      <c r="B133" s="542">
        <v>68</v>
      </c>
      <c r="C133" s="826"/>
      <c r="D133" s="827"/>
      <c r="S133" s="15"/>
      <c r="T133" s="4"/>
      <c r="U133" s="542">
        <v>68</v>
      </c>
      <c r="V133" s="826"/>
      <c r="W133" s="827"/>
      <c r="AL133" s="15"/>
    </row>
    <row r="134" spans="1:38">
      <c r="A134" s="146"/>
      <c r="B134" s="542">
        <v>69</v>
      </c>
      <c r="C134" s="826"/>
      <c r="D134" s="827"/>
      <c r="S134" s="15"/>
      <c r="T134" s="4"/>
      <c r="U134" s="542">
        <v>69</v>
      </c>
      <c r="V134" s="826"/>
      <c r="W134" s="827"/>
      <c r="AL134" s="15"/>
    </row>
    <row r="135" spans="1:38">
      <c r="A135" s="146"/>
      <c r="B135" s="542">
        <v>70</v>
      </c>
      <c r="C135" s="826"/>
      <c r="D135" s="827"/>
      <c r="S135" s="15"/>
      <c r="T135" s="4"/>
      <c r="U135" s="542">
        <v>70</v>
      </c>
      <c r="V135" s="826"/>
      <c r="W135" s="827"/>
      <c r="AL135" s="15"/>
    </row>
    <row r="136" spans="1:38">
      <c r="A136" s="146"/>
      <c r="B136" s="542">
        <v>71</v>
      </c>
      <c r="C136" s="826"/>
      <c r="D136" s="827"/>
      <c r="S136" s="15"/>
      <c r="T136" s="4"/>
      <c r="U136" s="542">
        <v>71</v>
      </c>
      <c r="V136" s="826"/>
      <c r="W136" s="827"/>
      <c r="AL136" s="15"/>
    </row>
    <row r="137" spans="1:38">
      <c r="A137" s="146"/>
      <c r="B137" s="542">
        <v>72</v>
      </c>
      <c r="C137" s="826"/>
      <c r="D137" s="827"/>
      <c r="S137" s="15"/>
      <c r="T137" s="4"/>
      <c r="U137" s="542">
        <v>72</v>
      </c>
      <c r="V137" s="826"/>
      <c r="W137" s="827"/>
      <c r="AL137" s="15"/>
    </row>
    <row r="138" spans="1:38">
      <c r="A138" s="146"/>
      <c r="B138" s="542">
        <v>73</v>
      </c>
      <c r="C138" s="826"/>
      <c r="D138" s="827"/>
      <c r="S138" s="15"/>
      <c r="T138" s="4"/>
      <c r="U138" s="542">
        <v>73</v>
      </c>
      <c r="V138" s="826"/>
      <c r="W138" s="827"/>
      <c r="AL138" s="15"/>
    </row>
    <row r="139" spans="1:38">
      <c r="A139" s="146"/>
      <c r="B139" s="542">
        <v>74</v>
      </c>
      <c r="C139" s="826"/>
      <c r="D139" s="827"/>
      <c r="S139" s="15"/>
      <c r="T139" s="4"/>
      <c r="U139" s="542">
        <v>74</v>
      </c>
      <c r="V139" s="826"/>
      <c r="W139" s="827"/>
      <c r="AL139" s="15"/>
    </row>
    <row r="140" spans="1:38">
      <c r="A140" s="146"/>
      <c r="B140" s="542">
        <v>75</v>
      </c>
      <c r="C140" s="826"/>
      <c r="D140" s="827"/>
      <c r="S140" s="15"/>
      <c r="T140" s="4"/>
      <c r="U140" s="542">
        <v>75</v>
      </c>
      <c r="V140" s="826"/>
      <c r="W140" s="827"/>
      <c r="AL140" s="15"/>
    </row>
    <row r="141" spans="1:38">
      <c r="A141" s="146"/>
      <c r="B141" s="542">
        <v>76</v>
      </c>
      <c r="C141" s="826"/>
      <c r="D141" s="827"/>
      <c r="S141" s="15"/>
      <c r="T141" s="4"/>
      <c r="U141" s="542">
        <v>76</v>
      </c>
      <c r="V141" s="826"/>
      <c r="W141" s="827"/>
      <c r="AL141" s="15"/>
    </row>
    <row r="142" spans="1:38">
      <c r="A142" s="146"/>
      <c r="B142" s="542">
        <v>77</v>
      </c>
      <c r="C142" s="826"/>
      <c r="D142" s="827"/>
      <c r="S142" s="15"/>
      <c r="T142" s="4"/>
      <c r="U142" s="542">
        <v>77</v>
      </c>
      <c r="V142" s="826"/>
      <c r="W142" s="827"/>
      <c r="AL142" s="15"/>
    </row>
    <row r="143" spans="1:38">
      <c r="A143" s="146"/>
      <c r="B143" s="542">
        <v>78</v>
      </c>
      <c r="C143" s="826"/>
      <c r="D143" s="827"/>
      <c r="S143" s="15"/>
      <c r="T143" s="4"/>
      <c r="U143" s="542">
        <v>78</v>
      </c>
      <c r="V143" s="826"/>
      <c r="W143" s="827"/>
      <c r="AL143" s="15"/>
    </row>
    <row r="144" spans="1:38">
      <c r="A144" s="146"/>
      <c r="B144" s="542">
        <v>79</v>
      </c>
      <c r="C144" s="826"/>
      <c r="D144" s="827"/>
      <c r="S144" s="15"/>
      <c r="T144" s="4"/>
      <c r="U144" s="542">
        <v>79</v>
      </c>
      <c r="V144" s="826"/>
      <c r="W144" s="827"/>
      <c r="AL144" s="15"/>
    </row>
    <row r="145" spans="1:38">
      <c r="A145" s="146"/>
      <c r="B145" s="542">
        <v>80</v>
      </c>
      <c r="C145" s="826"/>
      <c r="D145" s="827"/>
      <c r="S145" s="15"/>
      <c r="T145" s="4"/>
      <c r="U145" s="542">
        <v>80</v>
      </c>
      <c r="V145" s="826"/>
      <c r="W145" s="827"/>
      <c r="AL145" s="15"/>
    </row>
    <row r="146" spans="1:38">
      <c r="A146" s="146"/>
      <c r="B146" s="542">
        <v>81</v>
      </c>
      <c r="C146" s="826"/>
      <c r="D146" s="827"/>
      <c r="S146" s="15"/>
      <c r="T146" s="4"/>
      <c r="U146" s="542">
        <v>81</v>
      </c>
      <c r="V146" s="826"/>
      <c r="W146" s="827"/>
      <c r="AL146" s="15"/>
    </row>
    <row r="147" spans="1:38">
      <c r="A147" s="146"/>
      <c r="B147" s="542">
        <v>82</v>
      </c>
      <c r="C147" s="826"/>
      <c r="D147" s="827"/>
      <c r="S147" s="15"/>
      <c r="T147" s="4"/>
      <c r="U147" s="542">
        <v>82</v>
      </c>
      <c r="V147" s="826"/>
      <c r="W147" s="827"/>
      <c r="AL147" s="15"/>
    </row>
    <row r="148" spans="1:38">
      <c r="A148" s="146"/>
      <c r="B148" s="542">
        <v>83</v>
      </c>
      <c r="C148" s="826"/>
      <c r="D148" s="827"/>
      <c r="S148" s="15"/>
      <c r="T148" s="4"/>
      <c r="U148" s="542">
        <v>83</v>
      </c>
      <c r="V148" s="826"/>
      <c r="W148" s="827"/>
      <c r="AL148" s="15"/>
    </row>
    <row r="149" spans="1:38">
      <c r="A149" s="146"/>
      <c r="B149" s="542">
        <v>84</v>
      </c>
      <c r="C149" s="826"/>
      <c r="D149" s="827"/>
      <c r="S149" s="15"/>
      <c r="T149" s="4"/>
      <c r="U149" s="542">
        <v>84</v>
      </c>
      <c r="V149" s="826"/>
      <c r="W149" s="827"/>
      <c r="AL149" s="15"/>
    </row>
    <row r="150" spans="1:38">
      <c r="A150" s="146"/>
      <c r="B150" s="542">
        <v>85</v>
      </c>
      <c r="C150" s="826"/>
      <c r="D150" s="827"/>
      <c r="S150" s="15"/>
      <c r="T150" s="4"/>
      <c r="U150" s="542">
        <v>85</v>
      </c>
      <c r="V150" s="826"/>
      <c r="W150" s="827"/>
      <c r="AL150" s="15"/>
    </row>
    <row r="151" spans="1:38">
      <c r="A151" s="146"/>
      <c r="B151" s="542">
        <v>86</v>
      </c>
      <c r="C151" s="826"/>
      <c r="D151" s="827"/>
      <c r="S151" s="15"/>
      <c r="T151" s="4"/>
      <c r="U151" s="542">
        <v>86</v>
      </c>
      <c r="V151" s="826"/>
      <c r="W151" s="827"/>
      <c r="AL151" s="15"/>
    </row>
    <row r="152" spans="1:38">
      <c r="A152" s="146"/>
      <c r="B152" s="542">
        <v>87</v>
      </c>
      <c r="C152" s="826"/>
      <c r="D152" s="827"/>
      <c r="S152" s="15"/>
      <c r="T152" s="4"/>
      <c r="U152" s="542">
        <v>87</v>
      </c>
      <c r="V152" s="826"/>
      <c r="W152" s="827"/>
      <c r="AL152" s="15"/>
    </row>
    <row r="153" spans="1:38">
      <c r="A153" s="146"/>
      <c r="B153" s="542">
        <v>88</v>
      </c>
      <c r="C153" s="826"/>
      <c r="D153" s="827"/>
      <c r="S153" s="15"/>
      <c r="T153" s="4"/>
      <c r="U153" s="542">
        <v>88</v>
      </c>
      <c r="V153" s="826"/>
      <c r="W153" s="827"/>
      <c r="AL153" s="15"/>
    </row>
    <row r="154" spans="1:38">
      <c r="A154" s="146"/>
      <c r="B154" s="542">
        <v>89</v>
      </c>
      <c r="C154" s="826"/>
      <c r="D154" s="827"/>
      <c r="S154" s="15"/>
      <c r="T154" s="4"/>
      <c r="U154" s="542">
        <v>89</v>
      </c>
      <c r="V154" s="826"/>
      <c r="W154" s="827"/>
      <c r="AL154" s="15"/>
    </row>
    <row r="155" spans="1:38">
      <c r="A155" s="146"/>
      <c r="B155" s="542">
        <v>90</v>
      </c>
      <c r="C155" s="826"/>
      <c r="D155" s="827"/>
      <c r="S155" s="15"/>
      <c r="T155" s="4"/>
      <c r="U155" s="542">
        <v>90</v>
      </c>
      <c r="V155" s="826"/>
      <c r="W155" s="827"/>
      <c r="AL155" s="15"/>
    </row>
    <row r="156" spans="1:38">
      <c r="A156" s="146"/>
      <c r="B156" s="542">
        <v>91</v>
      </c>
      <c r="C156" s="826"/>
      <c r="D156" s="827"/>
      <c r="S156" s="15"/>
      <c r="T156" s="4"/>
      <c r="U156" s="542">
        <v>91</v>
      </c>
      <c r="V156" s="826"/>
      <c r="W156" s="827"/>
      <c r="AL156" s="15"/>
    </row>
    <row r="157" spans="1:38">
      <c r="A157" s="146"/>
      <c r="B157" s="542">
        <v>92</v>
      </c>
      <c r="C157" s="826"/>
      <c r="D157" s="827"/>
      <c r="S157" s="15"/>
      <c r="T157" s="4"/>
      <c r="U157" s="542">
        <v>92</v>
      </c>
      <c r="V157" s="826"/>
      <c r="W157" s="827"/>
      <c r="AL157" s="15"/>
    </row>
    <row r="158" spans="1:38">
      <c r="A158" s="146"/>
      <c r="B158" s="542">
        <v>93</v>
      </c>
      <c r="C158" s="826"/>
      <c r="D158" s="827"/>
      <c r="S158" s="15"/>
      <c r="T158" s="4"/>
      <c r="U158" s="542">
        <v>93</v>
      </c>
      <c r="V158" s="826"/>
      <c r="W158" s="827"/>
      <c r="AL158" s="15"/>
    </row>
    <row r="159" spans="1:38">
      <c r="A159" s="146"/>
      <c r="B159" s="542">
        <v>94</v>
      </c>
      <c r="C159" s="826"/>
      <c r="D159" s="827"/>
      <c r="S159" s="15"/>
      <c r="T159" s="4"/>
      <c r="U159" s="542">
        <v>94</v>
      </c>
      <c r="V159" s="826"/>
      <c r="W159" s="827"/>
      <c r="AL159" s="15"/>
    </row>
    <row r="160" spans="1:38">
      <c r="A160" s="146"/>
      <c r="B160" s="542">
        <v>95</v>
      </c>
      <c r="C160" s="826"/>
      <c r="D160" s="827"/>
      <c r="S160" s="15"/>
      <c r="T160" s="4"/>
      <c r="U160" s="542">
        <v>95</v>
      </c>
      <c r="V160" s="826"/>
      <c r="W160" s="827"/>
      <c r="AL160" s="15"/>
    </row>
    <row r="161" spans="1:38">
      <c r="A161" s="146"/>
      <c r="B161" s="542">
        <v>96</v>
      </c>
      <c r="C161" s="826"/>
      <c r="D161" s="827"/>
      <c r="S161" s="15"/>
      <c r="T161" s="4"/>
      <c r="U161" s="542">
        <v>96</v>
      </c>
      <c r="V161" s="826"/>
      <c r="W161" s="827"/>
      <c r="AL161" s="15"/>
    </row>
    <row r="162" spans="1:38">
      <c r="A162" s="146"/>
      <c r="B162" s="542">
        <v>97</v>
      </c>
      <c r="C162" s="826"/>
      <c r="D162" s="827"/>
      <c r="S162" s="15"/>
      <c r="T162" s="4"/>
      <c r="U162" s="542">
        <v>97</v>
      </c>
      <c r="V162" s="826"/>
      <c r="W162" s="827"/>
      <c r="AL162" s="15"/>
    </row>
    <row r="163" spans="1:38">
      <c r="A163" s="146"/>
      <c r="B163" s="542">
        <v>98</v>
      </c>
      <c r="C163" s="826"/>
      <c r="D163" s="827"/>
      <c r="S163" s="15"/>
      <c r="T163" s="4"/>
      <c r="U163" s="542">
        <v>98</v>
      </c>
      <c r="V163" s="826"/>
      <c r="W163" s="827"/>
      <c r="AL163" s="15"/>
    </row>
    <row r="164" spans="1:38">
      <c r="A164" s="146"/>
      <c r="B164" s="542">
        <v>99</v>
      </c>
      <c r="C164" s="826"/>
      <c r="D164" s="827"/>
      <c r="S164" s="15"/>
      <c r="T164" s="4"/>
      <c r="U164" s="542">
        <v>99</v>
      </c>
      <c r="V164" s="826"/>
      <c r="W164" s="827"/>
      <c r="AL164" s="15"/>
    </row>
    <row r="165" spans="1:38">
      <c r="A165" s="146"/>
      <c r="B165" s="542">
        <v>100</v>
      </c>
      <c r="C165" s="826"/>
      <c r="D165" s="827"/>
      <c r="S165" s="15"/>
      <c r="T165" s="4"/>
      <c r="U165" s="542">
        <v>100</v>
      </c>
      <c r="V165" s="826"/>
      <c r="W165" s="827"/>
      <c r="AL165" s="15"/>
    </row>
    <row r="166" spans="1:38">
      <c r="A166" s="146"/>
      <c r="B166" s="542">
        <v>101</v>
      </c>
      <c r="C166" s="826"/>
      <c r="D166" s="827"/>
      <c r="S166" s="15"/>
      <c r="T166" s="4"/>
      <c r="U166" s="542">
        <v>101</v>
      </c>
      <c r="V166" s="826"/>
      <c r="W166" s="827"/>
      <c r="AL166" s="15"/>
    </row>
    <row r="167" spans="1:38">
      <c r="A167" s="146"/>
      <c r="B167" s="542">
        <v>102</v>
      </c>
      <c r="C167" s="826"/>
      <c r="D167" s="827"/>
      <c r="S167" s="15"/>
      <c r="T167" s="4"/>
      <c r="U167" s="542">
        <v>102</v>
      </c>
      <c r="V167" s="826"/>
      <c r="W167" s="827"/>
      <c r="AL167" s="15"/>
    </row>
    <row r="168" spans="1:38">
      <c r="A168" s="146"/>
      <c r="B168" s="542">
        <v>103</v>
      </c>
      <c r="C168" s="828"/>
      <c r="D168" s="829"/>
      <c r="S168" s="15"/>
      <c r="T168" s="4"/>
      <c r="U168" s="542">
        <v>103</v>
      </c>
      <c r="V168" s="828"/>
      <c r="W168" s="829"/>
      <c r="AL168" s="15"/>
    </row>
    <row r="169" spans="1:38">
      <c r="A169" s="146"/>
      <c r="B169" s="542">
        <v>104</v>
      </c>
      <c r="C169" s="828"/>
      <c r="D169" s="829"/>
      <c r="S169" s="15"/>
      <c r="T169" s="4"/>
      <c r="U169" s="542">
        <v>104</v>
      </c>
      <c r="V169" s="828"/>
      <c r="W169" s="829"/>
      <c r="AL169" s="15"/>
    </row>
    <row r="170" spans="1:38">
      <c r="A170" s="146"/>
      <c r="B170" s="542">
        <v>105</v>
      </c>
      <c r="C170" s="828"/>
      <c r="D170" s="829"/>
      <c r="S170" s="15"/>
      <c r="T170" s="4"/>
      <c r="U170" s="542">
        <v>105</v>
      </c>
      <c r="V170" s="828"/>
      <c r="W170" s="829"/>
      <c r="AL170" s="15"/>
    </row>
    <row r="171" spans="1:38">
      <c r="A171" s="146"/>
      <c r="B171" s="542">
        <v>106</v>
      </c>
      <c r="C171" s="828"/>
      <c r="D171" s="829"/>
      <c r="S171" s="15"/>
      <c r="T171" s="4"/>
      <c r="U171" s="542">
        <v>106</v>
      </c>
      <c r="V171" s="828"/>
      <c r="W171" s="829"/>
      <c r="AL171" s="15"/>
    </row>
    <row r="172" spans="1:38">
      <c r="A172" s="146"/>
      <c r="B172" s="542">
        <v>107</v>
      </c>
      <c r="C172" s="828"/>
      <c r="D172" s="829"/>
      <c r="S172" s="15"/>
      <c r="T172" s="4"/>
      <c r="U172" s="542">
        <v>107</v>
      </c>
      <c r="V172" s="828"/>
      <c r="W172" s="829"/>
      <c r="AL172" s="15"/>
    </row>
    <row r="173" spans="1:38">
      <c r="A173" s="146"/>
      <c r="B173" s="542">
        <v>108</v>
      </c>
      <c r="C173" s="828"/>
      <c r="D173" s="829"/>
      <c r="S173" s="15"/>
      <c r="T173" s="4"/>
      <c r="U173" s="542">
        <v>108</v>
      </c>
      <c r="V173" s="828"/>
      <c r="W173" s="829"/>
      <c r="AL173" s="15"/>
    </row>
    <row r="174" spans="1:38">
      <c r="A174" s="146"/>
      <c r="B174" s="542">
        <v>109</v>
      </c>
      <c r="C174" s="828"/>
      <c r="D174" s="829"/>
      <c r="S174" s="15"/>
      <c r="T174" s="4"/>
      <c r="U174" s="542">
        <v>109</v>
      </c>
      <c r="V174" s="828"/>
      <c r="W174" s="829"/>
      <c r="AL174" s="15"/>
    </row>
    <row r="175" spans="1:38">
      <c r="A175" s="146"/>
      <c r="B175" s="542">
        <v>110</v>
      </c>
      <c r="C175" s="828"/>
      <c r="D175" s="829"/>
      <c r="S175" s="15"/>
      <c r="T175" s="4"/>
      <c r="U175" s="542">
        <v>110</v>
      </c>
      <c r="V175" s="828"/>
      <c r="W175" s="829"/>
      <c r="AL175" s="15"/>
    </row>
    <row r="176" spans="1:38">
      <c r="A176" s="146"/>
      <c r="B176" s="542">
        <v>111</v>
      </c>
      <c r="C176" s="828"/>
      <c r="D176" s="829"/>
      <c r="S176" s="15"/>
      <c r="T176" s="4"/>
      <c r="U176" s="542">
        <v>111</v>
      </c>
      <c r="V176" s="828"/>
      <c r="W176" s="829"/>
      <c r="AL176" s="15"/>
    </row>
    <row r="177" spans="1:38">
      <c r="A177" s="146"/>
      <c r="B177" s="542">
        <v>112</v>
      </c>
      <c r="C177" s="828"/>
      <c r="D177" s="829"/>
      <c r="S177" s="15"/>
      <c r="T177" s="4"/>
      <c r="U177" s="542">
        <v>112</v>
      </c>
      <c r="V177" s="828"/>
      <c r="W177" s="829"/>
      <c r="AL177" s="15"/>
    </row>
    <row r="178" spans="1:38">
      <c r="A178" s="146"/>
      <c r="B178" s="542">
        <v>113</v>
      </c>
      <c r="C178" s="828"/>
      <c r="D178" s="829"/>
      <c r="S178" s="15"/>
      <c r="T178" s="4"/>
      <c r="U178" s="542">
        <v>113</v>
      </c>
      <c r="V178" s="828"/>
      <c r="W178" s="829"/>
      <c r="AL178" s="15"/>
    </row>
    <row r="179" spans="1:38">
      <c r="A179" s="146"/>
      <c r="B179" s="542">
        <v>114</v>
      </c>
      <c r="C179" s="828"/>
      <c r="D179" s="829"/>
      <c r="S179" s="15"/>
      <c r="T179" s="4"/>
      <c r="U179" s="542">
        <v>114</v>
      </c>
      <c r="V179" s="828"/>
      <c r="W179" s="829"/>
      <c r="AL179" s="15"/>
    </row>
    <row r="180" spans="1:38">
      <c r="A180" s="146"/>
      <c r="B180" s="542">
        <v>115</v>
      </c>
      <c r="C180" s="828"/>
      <c r="D180" s="829"/>
      <c r="S180" s="15"/>
      <c r="T180" s="4"/>
      <c r="U180" s="542">
        <v>115</v>
      </c>
      <c r="V180" s="828"/>
      <c r="W180" s="829"/>
      <c r="AL180" s="15"/>
    </row>
    <row r="181" spans="1:38">
      <c r="A181" s="146"/>
      <c r="B181" s="542">
        <v>116</v>
      </c>
      <c r="C181" s="828"/>
      <c r="D181" s="829"/>
      <c r="S181" s="15"/>
      <c r="T181" s="4"/>
      <c r="U181" s="542">
        <v>116</v>
      </c>
      <c r="V181" s="828"/>
      <c r="W181" s="829"/>
      <c r="AL181" s="15"/>
    </row>
    <row r="182" spans="1:38">
      <c r="A182" s="146"/>
      <c r="B182" s="542">
        <v>117</v>
      </c>
      <c r="C182" s="828"/>
      <c r="D182" s="829"/>
      <c r="S182" s="15"/>
      <c r="T182" s="4"/>
      <c r="U182" s="542">
        <v>117</v>
      </c>
      <c r="V182" s="828"/>
      <c r="W182" s="829"/>
      <c r="AL182" s="15"/>
    </row>
    <row r="183" spans="1:38">
      <c r="A183" s="146"/>
      <c r="B183" s="542">
        <v>118</v>
      </c>
      <c r="C183" s="828"/>
      <c r="D183" s="829"/>
      <c r="S183" s="15"/>
      <c r="T183" s="4"/>
      <c r="U183" s="542">
        <v>118</v>
      </c>
      <c r="V183" s="828"/>
      <c r="W183" s="829"/>
      <c r="AL183" s="15"/>
    </row>
    <row r="184" spans="1:38">
      <c r="A184" s="146"/>
      <c r="B184" s="542">
        <v>119</v>
      </c>
      <c r="C184" s="828"/>
      <c r="D184" s="829"/>
      <c r="S184" s="15"/>
      <c r="T184" s="4"/>
      <c r="U184" s="542">
        <v>119</v>
      </c>
      <c r="V184" s="828"/>
      <c r="W184" s="829"/>
      <c r="AL184" s="15"/>
    </row>
    <row r="185" spans="1:38">
      <c r="A185" s="146"/>
      <c r="B185" s="542">
        <v>120</v>
      </c>
      <c r="C185" s="828"/>
      <c r="D185" s="829"/>
      <c r="S185" s="15"/>
      <c r="T185" s="4"/>
      <c r="U185" s="542">
        <v>120</v>
      </c>
      <c r="V185" s="828"/>
      <c r="W185" s="829"/>
      <c r="AL185" s="15"/>
    </row>
    <row r="186" spans="1:38">
      <c r="A186" s="104"/>
      <c r="B186" s="542">
        <v>121</v>
      </c>
      <c r="C186" s="828"/>
      <c r="D186" s="829"/>
      <c r="S186" s="15"/>
      <c r="U186" s="542">
        <v>121</v>
      </c>
      <c r="V186" s="828"/>
      <c r="W186" s="829"/>
      <c r="AL186" s="15"/>
    </row>
    <row r="187" spans="1:38">
      <c r="B187" s="542">
        <v>122</v>
      </c>
      <c r="C187" s="828"/>
      <c r="D187" s="829"/>
      <c r="S187" s="15"/>
      <c r="U187" s="542">
        <v>122</v>
      </c>
      <c r="V187" s="828"/>
      <c r="W187" s="829"/>
      <c r="AL187" s="15"/>
    </row>
    <row r="188" spans="1:38">
      <c r="B188" s="542">
        <v>123</v>
      </c>
      <c r="C188" s="828"/>
      <c r="D188" s="829"/>
      <c r="S188" s="15"/>
      <c r="U188" s="542">
        <v>123</v>
      </c>
      <c r="V188" s="828"/>
      <c r="W188" s="829"/>
      <c r="AL188" s="15"/>
    </row>
    <row r="189" spans="1:38">
      <c r="B189" s="542">
        <v>124</v>
      </c>
      <c r="C189" s="828"/>
      <c r="D189" s="829"/>
      <c r="S189" s="15"/>
      <c r="U189" s="542">
        <v>124</v>
      </c>
      <c r="V189" s="828"/>
      <c r="W189" s="829"/>
      <c r="AL189" s="15"/>
    </row>
    <row r="190" spans="1:38">
      <c r="B190" s="542">
        <v>125</v>
      </c>
      <c r="C190" s="828"/>
      <c r="D190" s="829"/>
      <c r="S190" s="15"/>
      <c r="U190" s="542">
        <v>125</v>
      </c>
      <c r="V190" s="828"/>
      <c r="W190" s="829"/>
      <c r="AL190" s="15"/>
    </row>
    <row r="191" spans="1:38">
      <c r="B191" s="542">
        <v>126</v>
      </c>
      <c r="C191" s="828"/>
      <c r="D191" s="829"/>
      <c r="S191" s="15"/>
      <c r="U191" s="542">
        <v>126</v>
      </c>
      <c r="V191" s="828"/>
      <c r="W191" s="829"/>
      <c r="AL191" s="15"/>
    </row>
    <row r="192" spans="1:38">
      <c r="B192" s="542">
        <v>127</v>
      </c>
      <c r="C192" s="828"/>
      <c r="D192" s="829"/>
      <c r="S192" s="15"/>
      <c r="U192" s="542">
        <v>127</v>
      </c>
      <c r="V192" s="828"/>
      <c r="W192" s="829"/>
      <c r="AL192" s="15"/>
    </row>
    <row r="193" spans="2:38">
      <c r="B193" s="542">
        <v>128</v>
      </c>
      <c r="C193" s="828"/>
      <c r="D193" s="829"/>
      <c r="S193" s="15"/>
      <c r="U193" s="542">
        <v>128</v>
      </c>
      <c r="V193" s="828"/>
      <c r="W193" s="829"/>
      <c r="AL193" s="15"/>
    </row>
    <row r="194" spans="2:38">
      <c r="B194" s="542">
        <v>129</v>
      </c>
      <c r="C194" s="828"/>
      <c r="D194" s="829"/>
      <c r="S194" s="15"/>
      <c r="U194" s="542">
        <v>129</v>
      </c>
      <c r="V194" s="828"/>
      <c r="W194" s="829"/>
      <c r="AL194" s="15"/>
    </row>
    <row r="195" spans="2:38">
      <c r="B195" s="542">
        <v>130</v>
      </c>
      <c r="C195" s="828"/>
      <c r="D195" s="829"/>
      <c r="S195" s="15"/>
      <c r="U195" s="542">
        <v>130</v>
      </c>
      <c r="V195" s="828"/>
      <c r="W195" s="829"/>
      <c r="AL195" s="15"/>
    </row>
    <row r="196" spans="2:38">
      <c r="B196" s="542">
        <v>131</v>
      </c>
      <c r="C196" s="828"/>
      <c r="D196" s="829"/>
      <c r="S196" s="15"/>
      <c r="U196" s="542">
        <v>131</v>
      </c>
      <c r="V196" s="828"/>
      <c r="W196" s="829"/>
      <c r="AL196" s="15"/>
    </row>
    <row r="197" spans="2:38">
      <c r="B197" s="542">
        <v>132</v>
      </c>
      <c r="C197" s="828"/>
      <c r="D197" s="829"/>
      <c r="S197" s="15"/>
      <c r="U197" s="542">
        <v>132</v>
      </c>
      <c r="V197" s="828"/>
      <c r="W197" s="829"/>
      <c r="AL197" s="15"/>
    </row>
    <row r="198" spans="2:38">
      <c r="B198" s="542">
        <v>133</v>
      </c>
      <c r="C198" s="828"/>
      <c r="D198" s="829"/>
      <c r="S198" s="15"/>
      <c r="U198" s="542">
        <v>133</v>
      </c>
      <c r="V198" s="828"/>
      <c r="W198" s="829"/>
      <c r="AL198" s="15"/>
    </row>
    <row r="199" spans="2:38">
      <c r="B199" s="542">
        <v>134</v>
      </c>
      <c r="C199" s="828"/>
      <c r="D199" s="829"/>
      <c r="S199" s="15"/>
      <c r="U199" s="542">
        <v>134</v>
      </c>
      <c r="V199" s="828"/>
      <c r="W199" s="829"/>
      <c r="AL199" s="15"/>
    </row>
    <row r="200" spans="2:38">
      <c r="B200" s="542">
        <v>135</v>
      </c>
      <c r="C200" s="828"/>
      <c r="D200" s="829"/>
      <c r="S200" s="15"/>
      <c r="U200" s="542">
        <v>135</v>
      </c>
      <c r="V200" s="828"/>
      <c r="W200" s="829"/>
      <c r="AL200" s="15"/>
    </row>
    <row r="201" spans="2:38">
      <c r="B201" s="542">
        <v>136</v>
      </c>
      <c r="C201" s="828"/>
      <c r="D201" s="829"/>
      <c r="S201" s="15"/>
      <c r="U201" s="542">
        <v>136</v>
      </c>
      <c r="V201" s="828"/>
      <c r="W201" s="829"/>
      <c r="AL201" s="15"/>
    </row>
    <row r="202" spans="2:38">
      <c r="B202" s="542">
        <v>137</v>
      </c>
      <c r="C202" s="828"/>
      <c r="D202" s="829"/>
      <c r="S202" s="15"/>
      <c r="U202" s="542">
        <v>137</v>
      </c>
      <c r="V202" s="828"/>
      <c r="W202" s="829"/>
      <c r="AL202" s="15"/>
    </row>
    <row r="203" spans="2:38">
      <c r="B203" s="542">
        <v>138</v>
      </c>
      <c r="C203" s="828"/>
      <c r="D203" s="829"/>
      <c r="S203" s="15"/>
      <c r="U203" s="542">
        <v>138</v>
      </c>
      <c r="V203" s="828"/>
      <c r="W203" s="829"/>
      <c r="AL203" s="15"/>
    </row>
    <row r="204" spans="2:38">
      <c r="B204" s="542">
        <v>139</v>
      </c>
      <c r="C204" s="828"/>
      <c r="D204" s="829"/>
      <c r="S204" s="15"/>
      <c r="U204" s="542">
        <v>139</v>
      </c>
      <c r="V204" s="828"/>
      <c r="W204" s="829"/>
      <c r="AL204" s="15"/>
    </row>
    <row r="205" spans="2:38">
      <c r="B205" s="542">
        <v>140</v>
      </c>
      <c r="C205" s="828"/>
      <c r="D205" s="829"/>
      <c r="S205" s="15"/>
      <c r="U205" s="542">
        <v>140</v>
      </c>
      <c r="V205" s="828"/>
      <c r="W205" s="829"/>
      <c r="AL205" s="15"/>
    </row>
    <row r="206" spans="2:38">
      <c r="B206" s="542">
        <v>141</v>
      </c>
      <c r="C206" s="828"/>
      <c r="D206" s="829"/>
      <c r="S206" s="15"/>
      <c r="U206" s="542">
        <v>141</v>
      </c>
      <c r="V206" s="828"/>
      <c r="W206" s="829"/>
      <c r="AL206" s="15"/>
    </row>
    <row r="207" spans="2:38">
      <c r="B207" s="542">
        <v>142</v>
      </c>
      <c r="C207" s="828"/>
      <c r="D207" s="829"/>
      <c r="S207" s="15"/>
      <c r="U207" s="542">
        <v>142</v>
      </c>
      <c r="V207" s="828"/>
      <c r="W207" s="829"/>
      <c r="AL207" s="15"/>
    </row>
    <row r="208" spans="2:38">
      <c r="B208" s="542">
        <v>143</v>
      </c>
      <c r="C208" s="828"/>
      <c r="D208" s="829"/>
      <c r="S208" s="15"/>
      <c r="U208" s="542">
        <v>143</v>
      </c>
      <c r="V208" s="828"/>
      <c r="W208" s="829"/>
      <c r="AL208" s="15"/>
    </row>
    <row r="209" spans="2:38">
      <c r="B209" s="542">
        <v>144</v>
      </c>
      <c r="C209" s="828"/>
      <c r="D209" s="829"/>
      <c r="S209" s="15"/>
      <c r="U209" s="542">
        <v>144</v>
      </c>
      <c r="V209" s="828"/>
      <c r="W209" s="829"/>
      <c r="AL209" s="15"/>
    </row>
    <row r="210" spans="2:38">
      <c r="B210" s="542">
        <v>145</v>
      </c>
      <c r="C210" s="828"/>
      <c r="D210" s="829"/>
      <c r="S210" s="15"/>
      <c r="U210" s="542">
        <v>145</v>
      </c>
      <c r="V210" s="828"/>
      <c r="W210" s="829"/>
      <c r="AL210" s="15"/>
    </row>
    <row r="211" spans="2:38">
      <c r="B211" s="542">
        <v>146</v>
      </c>
      <c r="C211" s="828"/>
      <c r="D211" s="829"/>
      <c r="S211" s="15"/>
      <c r="U211" s="542">
        <v>146</v>
      </c>
      <c r="V211" s="828"/>
      <c r="W211" s="829"/>
      <c r="AL211" s="15"/>
    </row>
    <row r="212" spans="2:38">
      <c r="B212" s="542">
        <v>147</v>
      </c>
      <c r="C212" s="828"/>
      <c r="D212" s="829"/>
      <c r="S212" s="15"/>
      <c r="U212" s="542">
        <v>147</v>
      </c>
      <c r="V212" s="828"/>
      <c r="W212" s="829"/>
      <c r="AL212" s="15"/>
    </row>
    <row r="213" spans="2:38">
      <c r="B213" s="542">
        <v>148</v>
      </c>
      <c r="C213" s="828"/>
      <c r="D213" s="829"/>
      <c r="S213" s="15"/>
      <c r="U213" s="542">
        <v>148</v>
      </c>
      <c r="V213" s="828"/>
      <c r="W213" s="829"/>
      <c r="AL213" s="15"/>
    </row>
    <row r="214" spans="2:38">
      <c r="B214" s="542">
        <v>149</v>
      </c>
      <c r="C214" s="828"/>
      <c r="D214" s="829"/>
      <c r="S214" s="15"/>
      <c r="U214" s="542">
        <v>149</v>
      </c>
      <c r="V214" s="828"/>
      <c r="W214" s="829"/>
      <c r="AL214" s="15"/>
    </row>
    <row r="215" spans="2:38">
      <c r="B215" s="542">
        <v>150</v>
      </c>
      <c r="C215" s="828"/>
      <c r="D215" s="829"/>
      <c r="S215" s="15"/>
      <c r="U215" s="542">
        <v>150</v>
      </c>
      <c r="V215" s="828"/>
      <c r="W215" s="829"/>
      <c r="AL215" s="15"/>
    </row>
    <row r="216" spans="2:38">
      <c r="B216" s="542">
        <v>151</v>
      </c>
      <c r="C216" s="828"/>
      <c r="D216" s="829"/>
      <c r="S216" s="15"/>
      <c r="U216" s="542">
        <v>151</v>
      </c>
      <c r="V216" s="828"/>
      <c r="W216" s="829"/>
      <c r="AL216" s="15"/>
    </row>
    <row r="217" spans="2:38">
      <c r="B217" s="542">
        <v>152</v>
      </c>
      <c r="C217" s="828"/>
      <c r="D217" s="829"/>
      <c r="S217" s="15"/>
      <c r="U217" s="542">
        <v>152</v>
      </c>
      <c r="V217" s="828"/>
      <c r="W217" s="829"/>
      <c r="AL217" s="15"/>
    </row>
    <row r="218" spans="2:38">
      <c r="B218" s="542">
        <v>153</v>
      </c>
      <c r="C218" s="828"/>
      <c r="D218" s="829"/>
      <c r="S218" s="15"/>
      <c r="U218" s="542">
        <v>153</v>
      </c>
      <c r="V218" s="828"/>
      <c r="W218" s="829"/>
      <c r="AL218" s="15"/>
    </row>
    <row r="219" spans="2:38">
      <c r="B219" s="542">
        <v>154</v>
      </c>
      <c r="C219" s="828"/>
      <c r="D219" s="829"/>
      <c r="S219" s="15"/>
      <c r="U219" s="542">
        <v>154</v>
      </c>
      <c r="V219" s="828"/>
      <c r="W219" s="829"/>
      <c r="AL219" s="15"/>
    </row>
    <row r="220" spans="2:38">
      <c r="B220" s="542">
        <v>155</v>
      </c>
      <c r="C220" s="828"/>
      <c r="D220" s="829"/>
      <c r="S220" s="15"/>
      <c r="U220" s="542">
        <v>155</v>
      </c>
      <c r="V220" s="828"/>
      <c r="W220" s="829"/>
      <c r="AL220" s="15"/>
    </row>
    <row r="221" spans="2:38">
      <c r="B221" s="542">
        <v>156</v>
      </c>
      <c r="C221" s="828"/>
      <c r="D221" s="829"/>
      <c r="S221" s="15"/>
      <c r="U221" s="542">
        <v>156</v>
      </c>
      <c r="V221" s="828"/>
      <c r="W221" s="829"/>
      <c r="AL221" s="15"/>
    </row>
    <row r="222" spans="2:38">
      <c r="B222" s="542">
        <v>157</v>
      </c>
      <c r="C222" s="828"/>
      <c r="D222" s="829"/>
      <c r="S222" s="15"/>
      <c r="U222" s="542">
        <v>157</v>
      </c>
      <c r="V222" s="828"/>
      <c r="W222" s="829"/>
      <c r="AL222" s="15"/>
    </row>
    <row r="223" spans="2:38">
      <c r="B223" s="542">
        <v>158</v>
      </c>
      <c r="C223" s="828"/>
      <c r="D223" s="829"/>
      <c r="S223" s="15"/>
      <c r="U223" s="542">
        <v>158</v>
      </c>
      <c r="V223" s="828"/>
      <c r="W223" s="829"/>
      <c r="AL223" s="15"/>
    </row>
    <row r="224" spans="2:38">
      <c r="B224" s="542">
        <v>159</v>
      </c>
      <c r="C224" s="828"/>
      <c r="D224" s="829"/>
      <c r="S224" s="15"/>
      <c r="U224" s="542">
        <v>159</v>
      </c>
      <c r="V224" s="828"/>
      <c r="W224" s="829"/>
      <c r="AL224" s="15"/>
    </row>
    <row r="225" spans="2:38">
      <c r="B225" s="542">
        <v>160</v>
      </c>
      <c r="C225" s="828"/>
      <c r="D225" s="829"/>
      <c r="S225" s="15"/>
      <c r="U225" s="542">
        <v>160</v>
      </c>
      <c r="V225" s="828"/>
      <c r="W225" s="829"/>
      <c r="AL225" s="15"/>
    </row>
    <row r="226" spans="2:38">
      <c r="B226" s="542">
        <v>161</v>
      </c>
      <c r="C226" s="828"/>
      <c r="D226" s="829"/>
      <c r="S226" s="15"/>
      <c r="U226" s="542">
        <v>161</v>
      </c>
      <c r="V226" s="828"/>
      <c r="W226" s="829"/>
      <c r="AL226" s="15"/>
    </row>
    <row r="227" spans="2:38">
      <c r="B227" s="542">
        <v>162</v>
      </c>
      <c r="C227" s="828"/>
      <c r="D227" s="829"/>
      <c r="S227" s="15"/>
      <c r="U227" s="542">
        <v>162</v>
      </c>
      <c r="V227" s="828"/>
      <c r="W227" s="829"/>
      <c r="AL227" s="15"/>
    </row>
    <row r="228" spans="2:38">
      <c r="B228" s="542">
        <v>163</v>
      </c>
      <c r="C228" s="828"/>
      <c r="D228" s="829"/>
      <c r="S228" s="15"/>
      <c r="U228" s="542">
        <v>163</v>
      </c>
      <c r="V228" s="828"/>
      <c r="W228" s="829"/>
      <c r="AL228" s="15"/>
    </row>
    <row r="229" spans="2:38">
      <c r="B229" s="542">
        <v>164</v>
      </c>
      <c r="C229" s="828"/>
      <c r="D229" s="829"/>
      <c r="S229" s="15"/>
      <c r="U229" s="542">
        <v>164</v>
      </c>
      <c r="V229" s="828"/>
      <c r="W229" s="829"/>
      <c r="AL229" s="15"/>
    </row>
    <row r="230" spans="2:38">
      <c r="B230" s="542">
        <v>165</v>
      </c>
      <c r="C230" s="828"/>
      <c r="D230" s="829"/>
      <c r="S230" s="15"/>
      <c r="U230" s="542">
        <v>165</v>
      </c>
      <c r="V230" s="828"/>
      <c r="W230" s="829"/>
      <c r="AL230" s="15"/>
    </row>
    <row r="231" spans="2:38">
      <c r="B231" s="542">
        <v>166</v>
      </c>
      <c r="C231" s="828"/>
      <c r="D231" s="829"/>
      <c r="S231" s="15"/>
      <c r="U231" s="542">
        <v>166</v>
      </c>
      <c r="V231" s="828"/>
      <c r="W231" s="829"/>
      <c r="AL231" s="15"/>
    </row>
    <row r="232" spans="2:38">
      <c r="B232" s="542">
        <v>167</v>
      </c>
      <c r="C232" s="828"/>
      <c r="D232" s="829"/>
      <c r="S232" s="15"/>
      <c r="U232" s="542">
        <v>167</v>
      </c>
      <c r="V232" s="828"/>
      <c r="W232" s="829"/>
      <c r="AL232" s="15"/>
    </row>
    <row r="233" spans="2:38">
      <c r="B233" s="542">
        <v>168</v>
      </c>
      <c r="C233" s="828"/>
      <c r="D233" s="829"/>
      <c r="S233" s="15"/>
      <c r="U233" s="542">
        <v>168</v>
      </c>
      <c r="V233" s="828"/>
      <c r="W233" s="829"/>
      <c r="AL233" s="15"/>
    </row>
    <row r="234" spans="2:38">
      <c r="B234" s="542">
        <v>169</v>
      </c>
      <c r="C234" s="828"/>
      <c r="D234" s="829"/>
      <c r="S234" s="15"/>
      <c r="U234" s="542">
        <v>169</v>
      </c>
      <c r="V234" s="828"/>
      <c r="W234" s="829"/>
      <c r="AL234" s="15"/>
    </row>
    <row r="235" spans="2:38">
      <c r="B235" s="542">
        <v>170</v>
      </c>
      <c r="C235" s="828"/>
      <c r="D235" s="829"/>
      <c r="S235" s="15"/>
      <c r="U235" s="542">
        <v>170</v>
      </c>
      <c r="V235" s="828"/>
      <c r="W235" s="829"/>
      <c r="AL235" s="15"/>
    </row>
    <row r="236" spans="2:38">
      <c r="B236" s="542">
        <v>171</v>
      </c>
      <c r="C236" s="828"/>
      <c r="D236" s="829"/>
      <c r="S236" s="15"/>
      <c r="U236" s="542">
        <v>171</v>
      </c>
      <c r="V236" s="828"/>
      <c r="W236" s="829"/>
      <c r="AL236" s="15"/>
    </row>
    <row r="237" spans="2:38">
      <c r="B237" s="542">
        <v>172</v>
      </c>
      <c r="C237" s="828"/>
      <c r="D237" s="830"/>
      <c r="S237" s="15"/>
      <c r="U237" s="542">
        <v>172</v>
      </c>
      <c r="V237" s="828"/>
      <c r="W237" s="830"/>
      <c r="AL237" s="15"/>
    </row>
    <row r="238" spans="2:38">
      <c r="B238" s="542">
        <v>173</v>
      </c>
      <c r="C238" s="831"/>
      <c r="D238" s="830"/>
      <c r="S238" s="15"/>
      <c r="U238" s="542">
        <v>173</v>
      </c>
      <c r="V238" s="831"/>
      <c r="W238" s="830"/>
      <c r="AL238" s="15"/>
    </row>
    <row r="239" spans="2:38">
      <c r="B239" s="542">
        <v>174</v>
      </c>
      <c r="C239" s="831"/>
      <c r="D239" s="830"/>
      <c r="S239" s="15"/>
      <c r="U239" s="542">
        <v>174</v>
      </c>
      <c r="V239" s="831"/>
      <c r="W239" s="830"/>
      <c r="AL239" s="15"/>
    </row>
    <row r="240" spans="2:38">
      <c r="B240" s="542">
        <v>175</v>
      </c>
      <c r="C240" s="831"/>
      <c r="D240" s="830"/>
      <c r="S240" s="15"/>
      <c r="U240" s="542">
        <v>175</v>
      </c>
      <c r="V240" s="831"/>
      <c r="W240" s="830"/>
      <c r="AL240" s="15"/>
    </row>
    <row r="241" spans="2:38">
      <c r="B241" s="542">
        <v>176</v>
      </c>
      <c r="C241" s="831"/>
      <c r="D241" s="830"/>
      <c r="S241" s="15"/>
      <c r="U241" s="542">
        <v>176</v>
      </c>
      <c r="V241" s="831"/>
      <c r="W241" s="830"/>
      <c r="AL241" s="15"/>
    </row>
    <row r="242" spans="2:38">
      <c r="B242" s="542">
        <v>177</v>
      </c>
      <c r="C242" s="831"/>
      <c r="D242" s="830"/>
      <c r="S242" s="15"/>
      <c r="U242" s="542">
        <v>177</v>
      </c>
      <c r="V242" s="831"/>
      <c r="W242" s="830"/>
      <c r="AL242" s="15"/>
    </row>
    <row r="243" spans="2:38">
      <c r="B243" s="542">
        <v>178</v>
      </c>
      <c r="C243" s="831"/>
      <c r="D243" s="830"/>
      <c r="S243" s="15"/>
      <c r="U243" s="542">
        <v>178</v>
      </c>
      <c r="V243" s="831"/>
      <c r="W243" s="830"/>
      <c r="AL243" s="15"/>
    </row>
    <row r="244" spans="2:38">
      <c r="B244" s="542">
        <v>179</v>
      </c>
      <c r="C244" s="831"/>
      <c r="D244" s="830"/>
      <c r="S244" s="15"/>
      <c r="U244" s="542">
        <v>179</v>
      </c>
      <c r="V244" s="831"/>
      <c r="W244" s="830"/>
      <c r="AL244" s="15"/>
    </row>
    <row r="245" spans="2:38">
      <c r="B245" s="542">
        <v>180</v>
      </c>
      <c r="C245" s="831"/>
      <c r="D245" s="830"/>
      <c r="S245" s="15"/>
      <c r="U245" s="542">
        <v>180</v>
      </c>
      <c r="V245" s="831"/>
      <c r="W245" s="830"/>
      <c r="AL245" s="15"/>
    </row>
    <row r="246" spans="2:38">
      <c r="B246" s="542">
        <v>181</v>
      </c>
      <c r="C246" s="831"/>
      <c r="D246" s="830"/>
      <c r="S246" s="15"/>
      <c r="U246" s="542">
        <v>181</v>
      </c>
      <c r="V246" s="831"/>
      <c r="W246" s="830"/>
      <c r="AL246" s="15"/>
    </row>
    <row r="247" spans="2:38">
      <c r="B247" s="542">
        <v>182</v>
      </c>
      <c r="C247" s="831"/>
      <c r="D247" s="830"/>
      <c r="S247" s="15"/>
      <c r="U247" s="542">
        <v>182</v>
      </c>
      <c r="V247" s="831"/>
      <c r="W247" s="830"/>
      <c r="AL247" s="15"/>
    </row>
    <row r="248" spans="2:38">
      <c r="B248" s="542">
        <v>183</v>
      </c>
      <c r="C248" s="831"/>
      <c r="D248" s="830"/>
      <c r="S248" s="15"/>
      <c r="U248" s="542">
        <v>183</v>
      </c>
      <c r="V248" s="831"/>
      <c r="W248" s="830"/>
      <c r="AL248" s="15"/>
    </row>
    <row r="249" spans="2:38">
      <c r="B249" s="542">
        <v>184</v>
      </c>
      <c r="C249" s="831"/>
      <c r="D249" s="830"/>
      <c r="S249" s="15"/>
      <c r="U249" s="542">
        <v>184</v>
      </c>
      <c r="V249" s="831"/>
      <c r="W249" s="830"/>
      <c r="AL249" s="15"/>
    </row>
    <row r="250" spans="2:38">
      <c r="B250" s="542">
        <v>185</v>
      </c>
      <c r="C250" s="831"/>
      <c r="D250" s="830"/>
      <c r="S250" s="15"/>
      <c r="U250" s="542">
        <v>185</v>
      </c>
      <c r="V250" s="831"/>
      <c r="W250" s="830"/>
      <c r="AL250" s="15"/>
    </row>
    <row r="251" spans="2:38">
      <c r="B251" s="542">
        <v>186</v>
      </c>
      <c r="C251" s="831"/>
      <c r="D251" s="830"/>
      <c r="S251" s="15"/>
      <c r="U251" s="542">
        <v>186</v>
      </c>
      <c r="V251" s="831"/>
      <c r="W251" s="830"/>
      <c r="AL251" s="15"/>
    </row>
    <row r="252" spans="2:38">
      <c r="B252" s="542">
        <v>187</v>
      </c>
      <c r="C252" s="831"/>
      <c r="D252" s="830"/>
      <c r="S252" s="15"/>
      <c r="U252" s="542">
        <v>187</v>
      </c>
      <c r="V252" s="831"/>
      <c r="W252" s="830"/>
      <c r="AL252" s="15"/>
    </row>
    <row r="253" spans="2:38">
      <c r="B253" s="542">
        <v>188</v>
      </c>
      <c r="C253" s="831"/>
      <c r="D253" s="830"/>
      <c r="S253" s="15"/>
      <c r="U253" s="542">
        <v>188</v>
      </c>
      <c r="V253" s="831"/>
      <c r="W253" s="830"/>
      <c r="AL253" s="15"/>
    </row>
    <row r="254" spans="2:38">
      <c r="B254" s="542">
        <v>189</v>
      </c>
      <c r="C254" s="831"/>
      <c r="D254" s="830"/>
      <c r="S254" s="15"/>
      <c r="U254" s="542">
        <v>189</v>
      </c>
      <c r="V254" s="831"/>
      <c r="W254" s="830"/>
      <c r="AL254" s="15"/>
    </row>
    <row r="255" spans="2:38">
      <c r="B255" s="542">
        <v>190</v>
      </c>
      <c r="C255" s="831"/>
      <c r="D255" s="830"/>
      <c r="S255" s="15"/>
      <c r="U255" s="542">
        <v>190</v>
      </c>
      <c r="V255" s="831"/>
      <c r="W255" s="830"/>
      <c r="AL255" s="15"/>
    </row>
    <row r="256" spans="2:38">
      <c r="B256" s="542">
        <v>191</v>
      </c>
      <c r="C256" s="831"/>
      <c r="D256" s="830"/>
      <c r="S256" s="15"/>
      <c r="U256" s="542">
        <v>191</v>
      </c>
      <c r="V256" s="831"/>
      <c r="W256" s="830"/>
      <c r="AL256" s="15"/>
    </row>
    <row r="257" spans="2:38">
      <c r="B257" s="542">
        <v>192</v>
      </c>
      <c r="C257" s="831"/>
      <c r="D257" s="830"/>
      <c r="S257" s="15"/>
      <c r="U257" s="542">
        <v>192</v>
      </c>
      <c r="V257" s="831"/>
      <c r="W257" s="830"/>
      <c r="AL257" s="15"/>
    </row>
    <row r="258" spans="2:38">
      <c r="B258" s="542">
        <v>193</v>
      </c>
      <c r="C258" s="831"/>
      <c r="D258" s="830"/>
      <c r="S258" s="15"/>
      <c r="U258" s="542">
        <v>193</v>
      </c>
      <c r="V258" s="831"/>
      <c r="W258" s="830"/>
      <c r="AL258" s="15"/>
    </row>
    <row r="259" spans="2:38">
      <c r="B259" s="542">
        <v>194</v>
      </c>
      <c r="C259" s="831"/>
      <c r="D259" s="830"/>
      <c r="S259" s="15"/>
      <c r="U259" s="542">
        <v>194</v>
      </c>
      <c r="V259" s="831"/>
      <c r="W259" s="830"/>
      <c r="AL259" s="15"/>
    </row>
    <row r="260" spans="2:38">
      <c r="B260" s="542">
        <v>195</v>
      </c>
      <c r="C260" s="831"/>
      <c r="D260" s="830"/>
      <c r="S260" s="15"/>
      <c r="U260" s="542">
        <v>195</v>
      </c>
      <c r="V260" s="831"/>
      <c r="W260" s="830"/>
      <c r="AL260" s="15"/>
    </row>
    <row r="261" spans="2:38">
      <c r="B261" s="542">
        <v>196</v>
      </c>
      <c r="C261" s="831"/>
      <c r="D261" s="830"/>
      <c r="S261" s="15"/>
      <c r="U261" s="542">
        <v>196</v>
      </c>
      <c r="V261" s="831"/>
      <c r="W261" s="830"/>
      <c r="AL261" s="15"/>
    </row>
    <row r="262" spans="2:38">
      <c r="B262" s="542">
        <v>197</v>
      </c>
      <c r="C262" s="831"/>
      <c r="D262" s="830"/>
      <c r="S262" s="15"/>
      <c r="U262" s="542">
        <v>197</v>
      </c>
      <c r="V262" s="831"/>
      <c r="W262" s="830"/>
      <c r="AL262" s="15"/>
    </row>
    <row r="263" spans="2:38">
      <c r="B263" s="542">
        <v>198</v>
      </c>
      <c r="C263" s="831"/>
      <c r="D263" s="830"/>
      <c r="S263" s="15"/>
      <c r="U263" s="542">
        <v>198</v>
      </c>
      <c r="V263" s="831"/>
      <c r="W263" s="830"/>
      <c r="AL263" s="15"/>
    </row>
    <row r="264" spans="2:38">
      <c r="B264" s="542">
        <v>199</v>
      </c>
      <c r="C264" s="831"/>
      <c r="D264" s="830"/>
      <c r="S264" s="15"/>
      <c r="U264" s="542">
        <v>199</v>
      </c>
      <c r="V264" s="831"/>
      <c r="W264" s="830"/>
      <c r="AL264" s="15"/>
    </row>
    <row r="265" spans="2:38">
      <c r="B265" s="542">
        <v>200</v>
      </c>
      <c r="C265" s="831"/>
      <c r="D265" s="830"/>
      <c r="S265" s="15"/>
      <c r="U265" s="542">
        <v>200</v>
      </c>
      <c r="V265" s="831"/>
      <c r="W265" s="830"/>
      <c r="AL265" s="15"/>
    </row>
    <row r="266" spans="2:38">
      <c r="B266" s="542">
        <v>201</v>
      </c>
      <c r="C266" s="831"/>
      <c r="D266" s="830"/>
      <c r="S266" s="15"/>
      <c r="U266" s="542">
        <v>201</v>
      </c>
      <c r="V266" s="831"/>
      <c r="W266" s="830"/>
      <c r="AL266" s="15"/>
    </row>
    <row r="267" spans="2:38">
      <c r="B267" s="542">
        <v>202</v>
      </c>
      <c r="C267" s="831"/>
      <c r="D267" s="830"/>
      <c r="S267" s="15"/>
      <c r="U267" s="542">
        <v>202</v>
      </c>
      <c r="V267" s="831"/>
      <c r="W267" s="830"/>
      <c r="AL267" s="15"/>
    </row>
    <row r="268" spans="2:38">
      <c r="B268" s="542">
        <v>203</v>
      </c>
      <c r="C268" s="831"/>
      <c r="D268" s="830"/>
      <c r="S268" s="15"/>
      <c r="U268" s="542">
        <v>203</v>
      </c>
      <c r="V268" s="831"/>
      <c r="W268" s="830"/>
      <c r="AL268" s="15"/>
    </row>
    <row r="269" spans="2:38">
      <c r="B269" s="542">
        <v>204</v>
      </c>
      <c r="C269" s="831"/>
      <c r="D269" s="830"/>
      <c r="S269" s="15"/>
      <c r="U269" s="542">
        <v>204</v>
      </c>
      <c r="V269" s="831"/>
      <c r="W269" s="830"/>
      <c r="AL269" s="15"/>
    </row>
    <row r="270" spans="2:38">
      <c r="B270" s="542">
        <v>205</v>
      </c>
      <c r="C270" s="831"/>
      <c r="D270" s="830"/>
      <c r="S270" s="15"/>
      <c r="U270" s="542">
        <v>205</v>
      </c>
      <c r="V270" s="831"/>
      <c r="W270" s="830"/>
      <c r="AL270" s="15"/>
    </row>
    <row r="271" spans="2:38">
      <c r="B271" s="542">
        <v>206</v>
      </c>
      <c r="C271" s="831"/>
      <c r="D271" s="830"/>
      <c r="S271" s="15"/>
      <c r="U271" s="542">
        <v>206</v>
      </c>
      <c r="V271" s="831"/>
      <c r="W271" s="830"/>
      <c r="AL271" s="15"/>
    </row>
    <row r="272" spans="2:38">
      <c r="B272" s="542">
        <v>207</v>
      </c>
      <c r="C272" s="831"/>
      <c r="D272" s="830"/>
      <c r="S272" s="15"/>
      <c r="U272" s="542">
        <v>207</v>
      </c>
      <c r="V272" s="831"/>
      <c r="W272" s="830"/>
      <c r="AL272" s="15"/>
    </row>
    <row r="273" spans="2:38">
      <c r="B273" s="542">
        <v>208</v>
      </c>
      <c r="C273" s="831"/>
      <c r="D273" s="830"/>
      <c r="S273" s="15"/>
      <c r="U273" s="542">
        <v>208</v>
      </c>
      <c r="V273" s="831"/>
      <c r="W273" s="830"/>
      <c r="AL273" s="15"/>
    </row>
    <row r="274" spans="2:38">
      <c r="B274" s="542">
        <v>209</v>
      </c>
      <c r="C274" s="831"/>
      <c r="D274" s="830"/>
      <c r="S274" s="15"/>
      <c r="U274" s="542">
        <v>209</v>
      </c>
      <c r="V274" s="831"/>
      <c r="W274" s="830"/>
      <c r="AL274" s="15"/>
    </row>
    <row r="275" spans="2:38">
      <c r="B275" s="542">
        <v>210</v>
      </c>
      <c r="C275" s="831"/>
      <c r="D275" s="830"/>
      <c r="S275" s="15"/>
      <c r="U275" s="542">
        <v>210</v>
      </c>
      <c r="V275" s="831"/>
      <c r="W275" s="830"/>
      <c r="AL275" s="15"/>
    </row>
    <row r="276" spans="2:38">
      <c r="B276" s="542">
        <v>211</v>
      </c>
      <c r="C276" s="831"/>
      <c r="D276" s="830"/>
      <c r="S276" s="15"/>
      <c r="U276" s="542">
        <v>211</v>
      </c>
      <c r="V276" s="831"/>
      <c r="W276" s="830"/>
      <c r="AL276" s="15"/>
    </row>
    <row r="277" spans="2:38">
      <c r="B277" s="542">
        <v>212</v>
      </c>
      <c r="C277" s="831"/>
      <c r="D277" s="830"/>
      <c r="S277" s="15"/>
      <c r="U277" s="542">
        <v>212</v>
      </c>
      <c r="V277" s="831"/>
      <c r="W277" s="830"/>
      <c r="AL277" s="15"/>
    </row>
    <row r="278" spans="2:38">
      <c r="B278" s="542">
        <v>213</v>
      </c>
      <c r="C278" s="831"/>
      <c r="D278" s="830"/>
      <c r="S278" s="15"/>
      <c r="U278" s="542">
        <v>213</v>
      </c>
      <c r="V278" s="831"/>
      <c r="W278" s="830"/>
      <c r="AL278" s="15"/>
    </row>
    <row r="279" spans="2:38">
      <c r="B279" s="542">
        <v>214</v>
      </c>
      <c r="C279" s="831"/>
      <c r="D279" s="830"/>
      <c r="S279" s="15"/>
      <c r="U279" s="542">
        <v>214</v>
      </c>
      <c r="V279" s="831"/>
      <c r="W279" s="830"/>
      <c r="AL279" s="15"/>
    </row>
    <row r="280" spans="2:38">
      <c r="B280" s="542">
        <v>215</v>
      </c>
      <c r="C280" s="831"/>
      <c r="D280" s="830"/>
      <c r="S280" s="15"/>
      <c r="U280" s="542">
        <v>215</v>
      </c>
      <c r="V280" s="831"/>
      <c r="W280" s="830"/>
      <c r="AL280" s="15"/>
    </row>
    <row r="281" spans="2:38">
      <c r="B281" s="542">
        <v>216</v>
      </c>
      <c r="C281" s="831"/>
      <c r="D281" s="830"/>
      <c r="S281" s="15"/>
      <c r="U281" s="542">
        <v>216</v>
      </c>
      <c r="V281" s="831"/>
      <c r="W281" s="830"/>
      <c r="AL281" s="15"/>
    </row>
    <row r="282" spans="2:38">
      <c r="B282" s="542">
        <v>217</v>
      </c>
      <c r="C282" s="831"/>
      <c r="D282" s="830"/>
      <c r="S282" s="15"/>
      <c r="U282" s="542">
        <v>217</v>
      </c>
      <c r="V282" s="831"/>
      <c r="W282" s="830"/>
      <c r="AL282" s="15"/>
    </row>
    <row r="283" spans="2:38">
      <c r="B283" s="542">
        <v>218</v>
      </c>
      <c r="C283" s="831"/>
      <c r="D283" s="830"/>
      <c r="S283" s="15"/>
      <c r="U283" s="542">
        <v>218</v>
      </c>
      <c r="V283" s="831"/>
      <c r="W283" s="830"/>
      <c r="AL283" s="15"/>
    </row>
    <row r="284" spans="2:38">
      <c r="B284" s="542">
        <v>219</v>
      </c>
      <c r="C284" s="831"/>
      <c r="D284" s="830"/>
      <c r="S284" s="15"/>
      <c r="U284" s="542">
        <v>219</v>
      </c>
      <c r="V284" s="831"/>
      <c r="W284" s="830"/>
      <c r="AL284" s="15"/>
    </row>
    <row r="285" spans="2:38">
      <c r="B285" s="542">
        <v>220</v>
      </c>
      <c r="C285" s="831"/>
      <c r="D285" s="830"/>
      <c r="S285" s="15"/>
      <c r="U285" s="542">
        <v>220</v>
      </c>
      <c r="V285" s="831"/>
      <c r="W285" s="830"/>
      <c r="AL285" s="15"/>
    </row>
    <row r="286" spans="2:38">
      <c r="B286" s="542">
        <v>221</v>
      </c>
      <c r="C286" s="831"/>
      <c r="D286" s="830"/>
      <c r="S286" s="15"/>
      <c r="U286" s="542">
        <v>221</v>
      </c>
      <c r="V286" s="831"/>
      <c r="W286" s="830"/>
      <c r="AL286" s="15"/>
    </row>
    <row r="287" spans="2:38">
      <c r="B287" s="542">
        <v>222</v>
      </c>
      <c r="C287" s="831"/>
      <c r="D287" s="830"/>
      <c r="S287" s="15"/>
      <c r="U287" s="542">
        <v>222</v>
      </c>
      <c r="V287" s="831"/>
      <c r="W287" s="830"/>
      <c r="AL287" s="15"/>
    </row>
    <row r="288" spans="2:38">
      <c r="B288" s="542">
        <v>223</v>
      </c>
      <c r="C288" s="831"/>
      <c r="D288" s="830"/>
      <c r="S288" s="15"/>
      <c r="U288" s="542">
        <v>223</v>
      </c>
      <c r="V288" s="831"/>
      <c r="W288" s="830"/>
      <c r="AL288" s="15"/>
    </row>
    <row r="289" spans="2:38">
      <c r="B289" s="542">
        <v>224</v>
      </c>
      <c r="C289" s="831"/>
      <c r="D289" s="830"/>
      <c r="S289" s="15"/>
      <c r="U289" s="542">
        <v>224</v>
      </c>
      <c r="V289" s="831"/>
      <c r="W289" s="830"/>
      <c r="AL289" s="15"/>
    </row>
    <row r="290" spans="2:38">
      <c r="B290" s="542">
        <v>225</v>
      </c>
      <c r="C290" s="831"/>
      <c r="D290" s="830"/>
      <c r="S290" s="15"/>
      <c r="U290" s="542">
        <v>225</v>
      </c>
      <c r="V290" s="831"/>
      <c r="W290" s="830"/>
      <c r="AL290" s="15"/>
    </row>
    <row r="291" spans="2:38">
      <c r="B291" s="542">
        <v>226</v>
      </c>
      <c r="C291" s="831"/>
      <c r="D291" s="830"/>
      <c r="S291" s="15"/>
      <c r="U291" s="542">
        <v>226</v>
      </c>
      <c r="V291" s="831"/>
      <c r="W291" s="830"/>
      <c r="AL291" s="15"/>
    </row>
    <row r="292" spans="2:38">
      <c r="B292" s="542">
        <v>227</v>
      </c>
      <c r="C292" s="831"/>
      <c r="D292" s="830"/>
      <c r="S292" s="15"/>
      <c r="U292" s="542">
        <v>227</v>
      </c>
      <c r="V292" s="831"/>
      <c r="W292" s="830"/>
      <c r="AL292" s="15"/>
    </row>
    <row r="293" spans="2:38">
      <c r="B293" s="542">
        <v>228</v>
      </c>
      <c r="C293" s="831"/>
      <c r="D293" s="830"/>
      <c r="S293" s="15"/>
      <c r="U293" s="542">
        <v>228</v>
      </c>
      <c r="V293" s="831"/>
      <c r="W293" s="830"/>
      <c r="AL293" s="15"/>
    </row>
    <row r="294" spans="2:38">
      <c r="B294" s="542">
        <v>229</v>
      </c>
      <c r="C294" s="831"/>
      <c r="D294" s="830"/>
      <c r="S294" s="15"/>
      <c r="U294" s="542">
        <v>229</v>
      </c>
      <c r="V294" s="831"/>
      <c r="W294" s="830"/>
      <c r="AL294" s="15"/>
    </row>
    <row r="295" spans="2:38">
      <c r="B295" s="542">
        <v>230</v>
      </c>
      <c r="C295" s="831"/>
      <c r="D295" s="830"/>
      <c r="S295" s="15"/>
      <c r="U295" s="542">
        <v>230</v>
      </c>
      <c r="V295" s="831"/>
      <c r="W295" s="830"/>
      <c r="AL295" s="15"/>
    </row>
    <row r="296" spans="2:38">
      <c r="B296" s="542">
        <v>231</v>
      </c>
      <c r="C296" s="831"/>
      <c r="D296" s="830"/>
      <c r="S296" s="15"/>
      <c r="U296" s="542">
        <v>231</v>
      </c>
      <c r="V296" s="831"/>
      <c r="W296" s="830"/>
      <c r="AL296" s="15"/>
    </row>
    <row r="297" spans="2:38">
      <c r="B297" s="542">
        <v>232</v>
      </c>
      <c r="C297" s="831"/>
      <c r="D297" s="830"/>
      <c r="S297" s="15"/>
      <c r="U297" s="542">
        <v>232</v>
      </c>
      <c r="V297" s="831"/>
      <c r="W297" s="830"/>
      <c r="AL297" s="15"/>
    </row>
    <row r="298" spans="2:38">
      <c r="B298" s="542">
        <v>233</v>
      </c>
      <c r="C298" s="831"/>
      <c r="D298" s="830"/>
      <c r="S298" s="15"/>
      <c r="U298" s="542">
        <v>233</v>
      </c>
      <c r="V298" s="831"/>
      <c r="W298" s="830"/>
      <c r="AL298" s="15"/>
    </row>
    <row r="299" spans="2:38">
      <c r="B299" s="542">
        <v>234</v>
      </c>
      <c r="C299" s="831"/>
      <c r="D299" s="830"/>
      <c r="S299" s="15"/>
      <c r="U299" s="542">
        <v>234</v>
      </c>
      <c r="V299" s="831"/>
      <c r="W299" s="830"/>
      <c r="AL299" s="15"/>
    </row>
    <row r="300" spans="2:38">
      <c r="B300" s="542">
        <v>235</v>
      </c>
      <c r="C300" s="831"/>
      <c r="D300" s="830"/>
      <c r="S300" s="15"/>
      <c r="U300" s="542">
        <v>235</v>
      </c>
      <c r="V300" s="831"/>
      <c r="W300" s="830"/>
      <c r="AL300" s="15"/>
    </row>
    <row r="301" spans="2:38">
      <c r="B301" s="542">
        <v>236</v>
      </c>
      <c r="C301" s="831"/>
      <c r="D301" s="830"/>
      <c r="S301" s="15"/>
      <c r="U301" s="542">
        <v>236</v>
      </c>
      <c r="V301" s="831"/>
      <c r="W301" s="830"/>
      <c r="AL301" s="15"/>
    </row>
    <row r="302" spans="2:38">
      <c r="B302" s="542">
        <v>237</v>
      </c>
      <c r="C302" s="831"/>
      <c r="D302" s="830"/>
      <c r="S302" s="15"/>
      <c r="U302" s="542">
        <v>237</v>
      </c>
      <c r="V302" s="831"/>
      <c r="W302" s="830"/>
      <c r="AL302" s="15"/>
    </row>
    <row r="303" spans="2:38">
      <c r="B303" s="542">
        <v>238</v>
      </c>
      <c r="C303" s="831"/>
      <c r="D303" s="830"/>
      <c r="S303" s="15"/>
      <c r="U303" s="542">
        <v>238</v>
      </c>
      <c r="V303" s="831"/>
      <c r="W303" s="830"/>
      <c r="AL303" s="15"/>
    </row>
    <row r="304" spans="2:38">
      <c r="B304" s="542">
        <v>239</v>
      </c>
      <c r="C304" s="831"/>
      <c r="D304" s="830"/>
      <c r="S304" s="15"/>
      <c r="U304" s="542">
        <v>239</v>
      </c>
      <c r="V304" s="831"/>
      <c r="W304" s="830"/>
      <c r="AL304" s="15"/>
    </row>
    <row r="305" spans="2:38">
      <c r="B305" s="542">
        <v>240</v>
      </c>
      <c r="C305" s="831"/>
      <c r="D305" s="830"/>
      <c r="S305" s="15"/>
      <c r="U305" s="542">
        <v>240</v>
      </c>
      <c r="V305" s="831"/>
      <c r="W305" s="830"/>
      <c r="AL305" s="15"/>
    </row>
    <row r="306" spans="2:38">
      <c r="B306" s="542">
        <v>241</v>
      </c>
      <c r="C306" s="831"/>
      <c r="D306" s="830"/>
      <c r="S306" s="15"/>
      <c r="U306" s="542">
        <v>241</v>
      </c>
      <c r="V306" s="831"/>
      <c r="W306" s="830"/>
      <c r="AL306" s="15"/>
    </row>
    <row r="307" spans="2:38">
      <c r="B307" s="542">
        <v>242</v>
      </c>
      <c r="C307" s="831"/>
      <c r="D307" s="830"/>
      <c r="S307" s="15"/>
      <c r="U307" s="542">
        <v>242</v>
      </c>
      <c r="V307" s="831"/>
      <c r="W307" s="830"/>
      <c r="AL307" s="15"/>
    </row>
    <row r="308" spans="2:38">
      <c r="B308" s="542">
        <v>243</v>
      </c>
      <c r="C308" s="831"/>
      <c r="D308" s="830"/>
      <c r="S308" s="15"/>
      <c r="U308" s="542">
        <v>243</v>
      </c>
      <c r="V308" s="831"/>
      <c r="W308" s="830"/>
      <c r="AL308" s="15"/>
    </row>
    <row r="309" spans="2:38">
      <c r="B309" s="542">
        <v>244</v>
      </c>
      <c r="C309" s="831"/>
      <c r="D309" s="830"/>
      <c r="S309" s="15"/>
      <c r="U309" s="542">
        <v>244</v>
      </c>
      <c r="V309" s="831"/>
      <c r="W309" s="830"/>
      <c r="AL309" s="15"/>
    </row>
    <row r="310" spans="2:38">
      <c r="B310" s="542">
        <v>245</v>
      </c>
      <c r="C310" s="831"/>
      <c r="D310" s="830"/>
      <c r="S310" s="15"/>
      <c r="U310" s="542">
        <v>245</v>
      </c>
      <c r="V310" s="831"/>
      <c r="W310" s="830"/>
      <c r="AL310" s="15"/>
    </row>
    <row r="311" spans="2:38">
      <c r="B311" s="542">
        <v>246</v>
      </c>
      <c r="C311" s="831"/>
      <c r="D311" s="830"/>
      <c r="S311" s="15"/>
      <c r="U311" s="542">
        <v>246</v>
      </c>
      <c r="V311" s="831"/>
      <c r="W311" s="830"/>
      <c r="AL311" s="15"/>
    </row>
    <row r="312" spans="2:38">
      <c r="B312" s="542">
        <v>247</v>
      </c>
      <c r="C312" s="831"/>
      <c r="D312" s="830"/>
      <c r="S312" s="15"/>
      <c r="U312" s="542">
        <v>247</v>
      </c>
      <c r="V312" s="831"/>
      <c r="W312" s="830"/>
      <c r="AL312" s="15"/>
    </row>
    <row r="313" spans="2:38">
      <c r="B313" s="542">
        <v>248</v>
      </c>
      <c r="C313" s="831"/>
      <c r="D313" s="830"/>
      <c r="S313" s="15"/>
      <c r="U313" s="542">
        <v>248</v>
      </c>
      <c r="V313" s="831"/>
      <c r="W313" s="830"/>
      <c r="AL313" s="15"/>
    </row>
    <row r="314" spans="2:38">
      <c r="B314" s="542">
        <v>249</v>
      </c>
      <c r="C314" s="831"/>
      <c r="D314" s="830"/>
      <c r="S314" s="15"/>
      <c r="U314" s="542">
        <v>249</v>
      </c>
      <c r="V314" s="831"/>
      <c r="W314" s="830"/>
      <c r="AL314" s="15"/>
    </row>
    <row r="315" spans="2:38">
      <c r="B315" s="542">
        <v>250</v>
      </c>
      <c r="C315" s="831"/>
      <c r="D315" s="830"/>
      <c r="S315" s="15"/>
      <c r="U315" s="542">
        <v>250</v>
      </c>
      <c r="V315" s="831"/>
      <c r="W315" s="830"/>
      <c r="AL315" s="15"/>
    </row>
    <row r="316" spans="2:38">
      <c r="B316" s="542">
        <v>251</v>
      </c>
      <c r="C316" s="831"/>
      <c r="D316" s="830"/>
      <c r="S316" s="15"/>
      <c r="U316" s="542">
        <v>251</v>
      </c>
      <c r="V316" s="831"/>
      <c r="W316" s="830"/>
      <c r="AL316" s="15"/>
    </row>
    <row r="317" spans="2:38">
      <c r="B317" s="542">
        <v>252</v>
      </c>
      <c r="C317" s="831"/>
      <c r="D317" s="830"/>
      <c r="S317" s="15"/>
      <c r="U317" s="542">
        <v>252</v>
      </c>
      <c r="V317" s="831"/>
      <c r="W317" s="830"/>
      <c r="AL317" s="15"/>
    </row>
    <row r="318" spans="2:38">
      <c r="B318" s="542">
        <v>253</v>
      </c>
      <c r="C318" s="831"/>
      <c r="D318" s="830"/>
      <c r="S318" s="15"/>
      <c r="U318" s="542">
        <v>253</v>
      </c>
      <c r="V318" s="831"/>
      <c r="W318" s="830"/>
      <c r="AL318" s="15"/>
    </row>
    <row r="319" spans="2:38">
      <c r="B319" s="542">
        <v>254</v>
      </c>
      <c r="C319" s="831"/>
      <c r="D319" s="830"/>
      <c r="S319" s="15"/>
      <c r="U319" s="542">
        <v>254</v>
      </c>
      <c r="V319" s="831"/>
      <c r="W319" s="830"/>
      <c r="AL319" s="15"/>
    </row>
    <row r="320" spans="2:38">
      <c r="B320" s="542">
        <v>255</v>
      </c>
      <c r="C320" s="831"/>
      <c r="D320" s="830"/>
      <c r="S320" s="15"/>
      <c r="U320" s="542">
        <v>255</v>
      </c>
      <c r="V320" s="831"/>
      <c r="W320" s="830"/>
      <c r="AL320" s="15"/>
    </row>
    <row r="321" spans="2:38">
      <c r="B321" s="542">
        <v>256</v>
      </c>
      <c r="C321" s="831"/>
      <c r="D321" s="830"/>
      <c r="S321" s="15"/>
      <c r="U321" s="542">
        <v>256</v>
      </c>
      <c r="V321" s="831"/>
      <c r="W321" s="830"/>
      <c r="AL321" s="15"/>
    </row>
    <row r="322" spans="2:38">
      <c r="B322" s="542">
        <v>257</v>
      </c>
      <c r="C322" s="831"/>
      <c r="D322" s="830"/>
      <c r="S322" s="15"/>
      <c r="U322" s="542">
        <v>257</v>
      </c>
      <c r="V322" s="831"/>
      <c r="W322" s="830"/>
      <c r="AL322" s="15"/>
    </row>
    <row r="323" spans="2:38">
      <c r="B323" s="542">
        <v>258</v>
      </c>
      <c r="C323" s="831"/>
      <c r="D323" s="830"/>
      <c r="S323" s="15"/>
      <c r="U323" s="542">
        <v>258</v>
      </c>
      <c r="V323" s="831"/>
      <c r="W323" s="830"/>
      <c r="AL323" s="15"/>
    </row>
    <row r="324" spans="2:38">
      <c r="B324" s="542">
        <v>259</v>
      </c>
      <c r="C324" s="831"/>
      <c r="D324" s="830"/>
      <c r="S324" s="15"/>
      <c r="U324" s="542">
        <v>259</v>
      </c>
      <c r="V324" s="831"/>
      <c r="W324" s="830"/>
      <c r="AL324" s="15"/>
    </row>
    <row r="325" spans="2:38">
      <c r="B325" s="542">
        <v>260</v>
      </c>
      <c r="C325" s="831"/>
      <c r="D325" s="830"/>
      <c r="S325" s="15"/>
      <c r="U325" s="542">
        <v>260</v>
      </c>
      <c r="V325" s="831"/>
      <c r="W325" s="830"/>
      <c r="AL325" s="15"/>
    </row>
    <row r="326" spans="2:38">
      <c r="B326" s="542">
        <v>261</v>
      </c>
      <c r="C326" s="831"/>
      <c r="D326" s="830"/>
      <c r="S326" s="15"/>
      <c r="U326" s="542">
        <v>261</v>
      </c>
      <c r="V326" s="831"/>
      <c r="W326" s="830"/>
      <c r="AL326" s="15"/>
    </row>
    <row r="327" spans="2:38">
      <c r="B327" s="542">
        <v>262</v>
      </c>
      <c r="C327" s="831"/>
      <c r="D327" s="830"/>
      <c r="S327" s="15"/>
      <c r="U327" s="542">
        <v>262</v>
      </c>
      <c r="V327" s="831"/>
      <c r="W327" s="830"/>
      <c r="AL327" s="15"/>
    </row>
    <row r="328" spans="2:38">
      <c r="B328" s="542">
        <v>263</v>
      </c>
      <c r="C328" s="831"/>
      <c r="D328" s="830"/>
      <c r="S328" s="15"/>
      <c r="U328" s="542">
        <v>263</v>
      </c>
      <c r="V328" s="831"/>
      <c r="W328" s="830"/>
      <c r="AL328" s="15"/>
    </row>
    <row r="329" spans="2:38">
      <c r="B329" s="542">
        <v>264</v>
      </c>
      <c r="C329" s="831"/>
      <c r="D329" s="830"/>
      <c r="S329" s="15"/>
      <c r="U329" s="542">
        <v>264</v>
      </c>
      <c r="V329" s="831"/>
      <c r="W329" s="830"/>
      <c r="AL329" s="15"/>
    </row>
    <row r="330" spans="2:38">
      <c r="B330" s="542">
        <v>265</v>
      </c>
      <c r="C330" s="831"/>
      <c r="D330" s="830"/>
      <c r="S330" s="15"/>
      <c r="U330" s="542">
        <v>265</v>
      </c>
      <c r="V330" s="831"/>
      <c r="W330" s="830"/>
      <c r="AL330" s="15"/>
    </row>
    <row r="331" spans="2:38">
      <c r="B331" s="542">
        <v>266</v>
      </c>
      <c r="C331" s="831"/>
      <c r="D331" s="830"/>
      <c r="S331" s="15"/>
      <c r="U331" s="542">
        <v>266</v>
      </c>
      <c r="V331" s="831"/>
      <c r="W331" s="830"/>
      <c r="AL331" s="15"/>
    </row>
    <row r="332" spans="2:38">
      <c r="B332" s="542">
        <v>267</v>
      </c>
      <c r="C332" s="831"/>
      <c r="D332" s="830"/>
      <c r="S332" s="15"/>
      <c r="U332" s="542">
        <v>267</v>
      </c>
      <c r="V332" s="831"/>
      <c r="W332" s="830"/>
      <c r="AL332" s="15"/>
    </row>
    <row r="333" spans="2:38">
      <c r="B333" s="542">
        <v>268</v>
      </c>
      <c r="C333" s="831"/>
      <c r="D333" s="830"/>
      <c r="S333" s="15"/>
      <c r="U333" s="542">
        <v>268</v>
      </c>
      <c r="V333" s="831"/>
      <c r="W333" s="830"/>
      <c r="AL333" s="15"/>
    </row>
    <row r="334" spans="2:38">
      <c r="B334" s="542">
        <v>269</v>
      </c>
      <c r="C334" s="831"/>
      <c r="D334" s="830"/>
      <c r="S334" s="15"/>
      <c r="U334" s="542">
        <v>269</v>
      </c>
      <c r="V334" s="831"/>
      <c r="W334" s="830"/>
      <c r="AL334" s="15"/>
    </row>
    <row r="335" spans="2:38">
      <c r="B335" s="542">
        <v>270</v>
      </c>
      <c r="C335" s="831"/>
      <c r="D335" s="830"/>
      <c r="S335" s="15"/>
      <c r="U335" s="542">
        <v>270</v>
      </c>
      <c r="V335" s="831"/>
      <c r="W335" s="830"/>
      <c r="AL335" s="15"/>
    </row>
    <row r="336" spans="2:38">
      <c r="B336" s="542">
        <v>271</v>
      </c>
      <c r="C336" s="831"/>
      <c r="D336" s="830"/>
      <c r="S336" s="15"/>
      <c r="U336" s="542">
        <v>271</v>
      </c>
      <c r="V336" s="831"/>
      <c r="W336" s="830"/>
      <c r="AL336" s="15"/>
    </row>
    <row r="337" spans="2:38">
      <c r="B337" s="542">
        <v>272</v>
      </c>
      <c r="C337" s="831"/>
      <c r="D337" s="830"/>
      <c r="S337" s="15"/>
      <c r="U337" s="542">
        <v>272</v>
      </c>
      <c r="V337" s="831"/>
      <c r="W337" s="830"/>
      <c r="AL337" s="15"/>
    </row>
    <row r="338" spans="2:38">
      <c r="B338" s="542">
        <v>273</v>
      </c>
      <c r="C338" s="831"/>
      <c r="D338" s="830"/>
      <c r="S338" s="15"/>
      <c r="U338" s="542">
        <v>273</v>
      </c>
      <c r="V338" s="831"/>
      <c r="W338" s="830"/>
      <c r="AL338" s="15"/>
    </row>
    <row r="339" spans="2:38">
      <c r="B339" s="542">
        <v>274</v>
      </c>
      <c r="C339" s="831"/>
      <c r="D339" s="830"/>
      <c r="S339" s="15"/>
      <c r="U339" s="542">
        <v>274</v>
      </c>
      <c r="V339" s="831"/>
      <c r="W339" s="830"/>
      <c r="AL339" s="15"/>
    </row>
    <row r="340" spans="2:38">
      <c r="B340" s="542">
        <v>275</v>
      </c>
      <c r="C340" s="831"/>
      <c r="D340" s="830"/>
      <c r="S340" s="15"/>
      <c r="U340" s="542">
        <v>275</v>
      </c>
      <c r="V340" s="831"/>
      <c r="W340" s="830"/>
      <c r="AL340" s="15"/>
    </row>
    <row r="341" spans="2:38">
      <c r="B341" s="542">
        <v>276</v>
      </c>
      <c r="C341" s="831"/>
      <c r="D341" s="830"/>
      <c r="S341" s="15"/>
      <c r="U341" s="542">
        <v>276</v>
      </c>
      <c r="V341" s="831"/>
      <c r="W341" s="830"/>
      <c r="AL341" s="15"/>
    </row>
    <row r="342" spans="2:38">
      <c r="B342" s="542">
        <v>277</v>
      </c>
      <c r="C342" s="831"/>
      <c r="D342" s="830"/>
      <c r="S342" s="15"/>
      <c r="U342" s="542">
        <v>277</v>
      </c>
      <c r="V342" s="831"/>
      <c r="W342" s="830"/>
      <c r="AL342" s="15"/>
    </row>
    <row r="343" spans="2:38">
      <c r="B343" s="542">
        <v>278</v>
      </c>
      <c r="C343" s="831"/>
      <c r="D343" s="830"/>
      <c r="S343" s="15"/>
      <c r="U343" s="542">
        <v>278</v>
      </c>
      <c r="V343" s="831"/>
      <c r="W343" s="830"/>
      <c r="AL343" s="15"/>
    </row>
    <row r="344" spans="2:38">
      <c r="B344" s="542">
        <v>279</v>
      </c>
      <c r="C344" s="831"/>
      <c r="D344" s="830"/>
      <c r="S344" s="15"/>
      <c r="U344" s="542">
        <v>279</v>
      </c>
      <c r="V344" s="831"/>
      <c r="W344" s="830"/>
      <c r="AL344" s="15"/>
    </row>
    <row r="345" spans="2:38">
      <c r="B345" s="542">
        <v>280</v>
      </c>
      <c r="C345" s="831"/>
      <c r="D345" s="830"/>
      <c r="S345" s="15"/>
      <c r="U345" s="542">
        <v>280</v>
      </c>
      <c r="V345" s="831"/>
      <c r="W345" s="830"/>
      <c r="AL345" s="15"/>
    </row>
    <row r="346" spans="2:38">
      <c r="B346" s="542">
        <v>281</v>
      </c>
      <c r="C346" s="831"/>
      <c r="D346" s="830"/>
      <c r="S346" s="15"/>
      <c r="U346" s="542">
        <v>281</v>
      </c>
      <c r="V346" s="831"/>
      <c r="W346" s="830"/>
      <c r="AL346" s="15"/>
    </row>
    <row r="347" spans="2:38">
      <c r="B347" s="542">
        <v>282</v>
      </c>
      <c r="C347" s="831"/>
      <c r="D347" s="830"/>
      <c r="S347" s="15"/>
      <c r="U347" s="542">
        <v>282</v>
      </c>
      <c r="V347" s="831"/>
      <c r="W347" s="830"/>
      <c r="AL347" s="15"/>
    </row>
    <row r="348" spans="2:38">
      <c r="B348" s="542">
        <v>283</v>
      </c>
      <c r="C348" s="831"/>
      <c r="D348" s="830"/>
      <c r="S348" s="15"/>
      <c r="U348" s="542">
        <v>283</v>
      </c>
      <c r="V348" s="831"/>
      <c r="W348" s="830"/>
      <c r="AL348" s="15"/>
    </row>
    <row r="349" spans="2:38">
      <c r="B349" s="542">
        <v>284</v>
      </c>
      <c r="C349" s="831"/>
      <c r="D349" s="830"/>
      <c r="S349" s="15"/>
      <c r="U349" s="542">
        <v>284</v>
      </c>
      <c r="V349" s="831"/>
      <c r="W349" s="830"/>
      <c r="AL349" s="15"/>
    </row>
    <row r="350" spans="2:38">
      <c r="B350" s="542">
        <v>285</v>
      </c>
      <c r="C350" s="831"/>
      <c r="D350" s="830"/>
      <c r="S350" s="15"/>
      <c r="U350" s="542">
        <v>285</v>
      </c>
      <c r="V350" s="831"/>
      <c r="W350" s="830"/>
      <c r="AL350" s="15"/>
    </row>
    <row r="351" spans="2:38">
      <c r="B351" s="542">
        <v>286</v>
      </c>
      <c r="C351" s="831"/>
      <c r="D351" s="830"/>
      <c r="S351" s="15"/>
      <c r="U351" s="542">
        <v>286</v>
      </c>
      <c r="V351" s="831"/>
      <c r="W351" s="830"/>
      <c r="AL351" s="15"/>
    </row>
    <row r="352" spans="2:38">
      <c r="B352" s="542">
        <v>287</v>
      </c>
      <c r="C352" s="831"/>
      <c r="D352" s="830"/>
      <c r="S352" s="15"/>
      <c r="U352" s="542">
        <v>287</v>
      </c>
      <c r="V352" s="831"/>
      <c r="W352" s="830"/>
      <c r="AL352" s="15"/>
    </row>
    <row r="353" spans="1:38">
      <c r="B353" s="542">
        <v>288</v>
      </c>
      <c r="C353" s="831"/>
      <c r="D353" s="830"/>
      <c r="S353" s="15"/>
      <c r="U353" s="542">
        <v>288</v>
      </c>
      <c r="V353" s="831"/>
      <c r="W353" s="830"/>
      <c r="AL353" s="15"/>
    </row>
    <row r="354" spans="1:38">
      <c r="B354" s="542">
        <v>289</v>
      </c>
      <c r="C354" s="831"/>
      <c r="D354" s="830"/>
      <c r="S354" s="15"/>
      <c r="U354" s="542">
        <v>289</v>
      </c>
      <c r="V354" s="831"/>
      <c r="W354" s="830"/>
      <c r="AL354" s="15"/>
    </row>
    <row r="355" spans="1:38">
      <c r="B355" s="542">
        <v>290</v>
      </c>
      <c r="C355" s="831"/>
      <c r="D355" s="830"/>
      <c r="S355" s="15"/>
      <c r="U355" s="542">
        <v>290</v>
      </c>
      <c r="V355" s="831"/>
      <c r="W355" s="830"/>
      <c r="AL355" s="15"/>
    </row>
    <row r="356" spans="1:38">
      <c r="B356" s="542">
        <v>291</v>
      </c>
      <c r="C356" s="831"/>
      <c r="D356" s="830"/>
      <c r="S356" s="15"/>
      <c r="U356" s="542">
        <v>291</v>
      </c>
      <c r="V356" s="831"/>
      <c r="W356" s="830"/>
      <c r="AL356" s="15"/>
    </row>
    <row r="357" spans="1:38">
      <c r="B357" s="542">
        <v>292</v>
      </c>
      <c r="C357" s="831"/>
      <c r="D357" s="830"/>
      <c r="S357" s="15"/>
      <c r="U357" s="542">
        <v>292</v>
      </c>
      <c r="V357" s="831"/>
      <c r="W357" s="830"/>
      <c r="AL357" s="15"/>
    </row>
    <row r="358" spans="1:38">
      <c r="B358" s="542">
        <v>293</v>
      </c>
      <c r="C358" s="831"/>
      <c r="D358" s="830"/>
      <c r="S358" s="15"/>
      <c r="U358" s="542">
        <v>293</v>
      </c>
      <c r="V358" s="831"/>
      <c r="W358" s="830"/>
      <c r="AL358" s="15"/>
    </row>
    <row r="359" spans="1:38">
      <c r="B359" s="542">
        <v>294</v>
      </c>
      <c r="C359" s="831"/>
      <c r="D359" s="830"/>
      <c r="S359" s="15"/>
      <c r="U359" s="542">
        <v>294</v>
      </c>
      <c r="V359" s="831"/>
      <c r="W359" s="830"/>
      <c r="AL359" s="15"/>
    </row>
    <row r="360" spans="1:38">
      <c r="B360" s="542">
        <v>295</v>
      </c>
      <c r="C360" s="831"/>
      <c r="D360" s="830"/>
      <c r="S360" s="15"/>
      <c r="U360" s="542">
        <v>295</v>
      </c>
      <c r="V360" s="831"/>
      <c r="W360" s="830"/>
      <c r="AL360" s="15"/>
    </row>
    <row r="361" spans="1:38">
      <c r="B361" s="542">
        <v>296</v>
      </c>
      <c r="C361" s="831"/>
      <c r="D361" s="830"/>
      <c r="S361" s="15"/>
      <c r="U361" s="542">
        <v>296</v>
      </c>
      <c r="V361" s="831"/>
      <c r="W361" s="830"/>
      <c r="AL361" s="15"/>
    </row>
    <row r="362" spans="1:38">
      <c r="B362" s="542">
        <v>297</v>
      </c>
      <c r="C362" s="831"/>
      <c r="D362" s="830"/>
      <c r="S362" s="15"/>
      <c r="U362" s="542">
        <v>297</v>
      </c>
      <c r="V362" s="831"/>
      <c r="W362" s="830"/>
      <c r="AL362" s="15"/>
    </row>
    <row r="363" spans="1:38">
      <c r="B363" s="542">
        <v>298</v>
      </c>
      <c r="C363" s="831"/>
      <c r="D363" s="830"/>
      <c r="S363" s="15"/>
      <c r="U363" s="542">
        <v>298</v>
      </c>
      <c r="V363" s="831"/>
      <c r="W363" s="830"/>
      <c r="AL363" s="15"/>
    </row>
    <row r="364" spans="1:38">
      <c r="B364" s="542">
        <v>299</v>
      </c>
      <c r="C364" s="831"/>
      <c r="D364" s="830"/>
      <c r="S364" s="15"/>
      <c r="U364" s="542">
        <v>299</v>
      </c>
      <c r="V364" s="831"/>
      <c r="W364" s="830"/>
      <c r="AL364" s="15"/>
    </row>
    <row r="365" spans="1:38">
      <c r="B365" s="542">
        <v>300</v>
      </c>
      <c r="C365" s="831"/>
      <c r="D365" s="830"/>
      <c r="S365" s="15"/>
      <c r="U365" s="542">
        <v>300</v>
      </c>
      <c r="V365" s="831"/>
      <c r="W365" s="83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qoKsdkzISk4561wAmGLNoHyjm6R9g2p6wY3YR9GDZCAsuPAQuAmUAHlXuveJDX7zE2VCrK2UAszYGTdp2Xzwmg==" saltValue="yncNckel1ueEVTkhYcrwww=="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0">
    <mergeCell ref="H65:I65"/>
    <mergeCell ref="AA65:AB65"/>
    <mergeCell ref="A55:B55"/>
    <mergeCell ref="C55:D55"/>
    <mergeCell ref="C60:D60"/>
    <mergeCell ref="A56:B56"/>
    <mergeCell ref="C56:D56"/>
    <mergeCell ref="A57:B57"/>
    <mergeCell ref="C57:D57"/>
    <mergeCell ref="C58:D58"/>
    <mergeCell ref="C59:D59"/>
    <mergeCell ref="U56:AK57"/>
    <mergeCell ref="A54:B54"/>
    <mergeCell ref="C54:D54"/>
    <mergeCell ref="C53:D53"/>
    <mergeCell ref="V53:W53"/>
    <mergeCell ref="A50:B50"/>
    <mergeCell ref="C50:D50"/>
    <mergeCell ref="AG51:AH51"/>
    <mergeCell ref="AG50:AH50"/>
    <mergeCell ref="V52:W52"/>
    <mergeCell ref="AG52:AH52"/>
    <mergeCell ref="A47:B47"/>
    <mergeCell ref="C47:D47"/>
    <mergeCell ref="E47:F47"/>
    <mergeCell ref="G47:H47"/>
    <mergeCell ref="T47:U47"/>
    <mergeCell ref="A5:S5"/>
    <mergeCell ref="A46:B46"/>
    <mergeCell ref="C46:D46"/>
    <mergeCell ref="E46:F46"/>
    <mergeCell ref="G46:H46"/>
    <mergeCell ref="N46:O46"/>
    <mergeCell ref="P46:R46"/>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s>
  <phoneticPr fontId="0" type="noConversion"/>
  <conditionalFormatting sqref="C56:D56">
    <cfRule type="expression" dxfId="423" priority="1">
      <formula>$C$56&lt;0.4*$C$57</formula>
    </cfRule>
  </conditionalFormatting>
  <conditionalFormatting sqref="C57:D57">
    <cfRule type="expression" dxfId="422" priority="2">
      <formula>$C$57&lt;0.4*$C$56</formula>
    </cfRule>
  </conditionalFormatting>
  <conditionalFormatting sqref="AJ51">
    <cfRule type="cellIs" dxfId="421" priority="3" stopIfTrue="1" operator="greaterThanOrEqual">
      <formula>100</formula>
    </cfRule>
    <cfRule type="cellIs" dxfId="420" priority="4" stopIfTrue="1" operator="lessThan">
      <formula>75</formula>
    </cfRule>
    <cfRule type="cellIs" dxfId="419" priority="5"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zoomScaleNormal="100" zoomScaleSheetLayoutView="100" workbookViewId="0">
      <selection sqref="A1:S1"/>
    </sheetView>
  </sheetViews>
  <sheetFormatPr baseColWidth="10" defaultColWidth="11.46484375" defaultRowHeight="12.75"/>
  <cols>
    <col min="1" max="38" width="5" customWidth="1"/>
  </cols>
  <sheetData>
    <row r="1" spans="1:41" ht="13.15">
      <c r="A1" s="1194" t="s">
        <v>298</v>
      </c>
      <c r="B1" s="1195"/>
      <c r="C1" s="1195"/>
      <c r="D1" s="1195"/>
      <c r="E1" s="1195"/>
      <c r="F1" s="1195"/>
      <c r="G1" s="1195"/>
      <c r="H1" s="1195"/>
      <c r="I1" s="1195"/>
      <c r="J1" s="1195"/>
      <c r="K1" s="1195"/>
      <c r="L1" s="1195"/>
      <c r="M1" s="1195"/>
      <c r="N1" s="1195"/>
      <c r="O1" s="1195"/>
      <c r="P1" s="1195"/>
      <c r="Q1" s="1195"/>
      <c r="R1" s="1195"/>
      <c r="S1" s="1196"/>
      <c r="T1" s="1194" t="s">
        <v>287</v>
      </c>
      <c r="U1" s="1195"/>
      <c r="V1" s="1195"/>
      <c r="W1" s="1195"/>
      <c r="X1" s="1195"/>
      <c r="Y1" s="1195"/>
      <c r="Z1" s="1195"/>
      <c r="AA1" s="1195"/>
      <c r="AB1" s="1195"/>
      <c r="AC1" s="1195"/>
      <c r="AD1" s="1195"/>
      <c r="AE1" s="1195"/>
      <c r="AF1" s="1195"/>
      <c r="AG1" s="1195"/>
      <c r="AH1" s="1195"/>
      <c r="AI1" s="1195"/>
      <c r="AJ1" s="1195"/>
      <c r="AK1" s="1195"/>
      <c r="AL1" s="1196"/>
    </row>
    <row r="2" spans="1:41">
      <c r="A2" s="4"/>
      <c r="S2" s="15"/>
      <c r="T2" s="4"/>
      <c r="AL2" s="15"/>
      <c r="AM2" s="162" t="s">
        <v>219</v>
      </c>
      <c r="AN2" s="162"/>
      <c r="AO2" s="162"/>
    </row>
    <row r="3" spans="1:41">
      <c r="A3" t="s">
        <v>39</v>
      </c>
      <c r="D3" s="1157" t="str">
        <f>IF('Cover Sheet'!$D$14&gt;0,'Cover Sheet'!$D$14,"")</f>
        <v>Ecole Centrale Lyon</v>
      </c>
      <c r="E3" s="1157"/>
      <c r="F3" s="1157"/>
      <c r="G3" s="1157"/>
      <c r="H3" s="1157"/>
      <c r="I3" s="1157"/>
      <c r="J3" s="1157"/>
      <c r="K3" t="s">
        <v>40</v>
      </c>
      <c r="O3" s="1157" t="str">
        <f>IF('Cover Sheet'!$O$14&gt;0,'Cover Sheet'!$O$14,"")</f>
        <v>81 FSCH</v>
      </c>
      <c r="P3" s="1157"/>
      <c r="Q3" s="1157"/>
      <c r="R3" s="1157"/>
      <c r="S3" s="1157"/>
      <c r="T3" t="s">
        <v>39</v>
      </c>
      <c r="W3" s="1157" t="str">
        <f>IF('Cover Sheet'!$D$14&gt;0,'Cover Sheet'!$D$14,"")</f>
        <v>Ecole Centrale Lyon</v>
      </c>
      <c r="X3" s="1157"/>
      <c r="Y3" s="1157"/>
      <c r="Z3" s="1157"/>
      <c r="AA3" s="1157"/>
      <c r="AB3" s="1157"/>
      <c r="AC3" s="1157"/>
      <c r="AD3" t="s">
        <v>40</v>
      </c>
      <c r="AH3" s="1157" t="str">
        <f>IF('Cover Sheet'!$O$14&gt;0,'Cover Sheet'!$O$14,"")</f>
        <v>81 FSCH</v>
      </c>
      <c r="AI3" s="1157"/>
      <c r="AJ3" s="1157"/>
      <c r="AK3" s="1157"/>
      <c r="AL3" s="1157"/>
    </row>
    <row r="4" spans="1:41">
      <c r="A4" s="4"/>
      <c r="S4" s="15"/>
      <c r="T4" s="4"/>
      <c r="AL4" s="15"/>
    </row>
    <row r="5" spans="1:41" ht="12.75" customHeight="1">
      <c r="A5" s="1211"/>
      <c r="B5" s="1212"/>
      <c r="C5" s="1212"/>
      <c r="D5" s="1212"/>
      <c r="E5" s="1212"/>
      <c r="F5" s="1212"/>
      <c r="G5" s="1212"/>
      <c r="H5" s="1212"/>
      <c r="I5" s="1212"/>
      <c r="J5" s="1212"/>
      <c r="K5" s="1212"/>
      <c r="L5" s="1212"/>
      <c r="M5" s="1212"/>
      <c r="N5" s="1212"/>
      <c r="O5" s="1212"/>
      <c r="P5" s="1212"/>
      <c r="Q5" s="1212"/>
      <c r="R5" s="1212"/>
      <c r="S5" s="1213"/>
      <c r="T5" s="1211"/>
      <c r="U5" s="1212"/>
      <c r="V5" s="1212"/>
      <c r="W5" s="1212"/>
      <c r="X5" s="1212"/>
      <c r="Y5" s="1212"/>
      <c r="Z5" s="1212"/>
      <c r="AA5" s="1212"/>
      <c r="AB5" s="1212"/>
      <c r="AC5" s="1212"/>
      <c r="AD5" s="1212"/>
      <c r="AE5" s="1212"/>
      <c r="AF5" s="1212"/>
      <c r="AG5" s="1212"/>
      <c r="AH5" s="1212"/>
      <c r="AI5" s="1212"/>
      <c r="AJ5" s="1212"/>
      <c r="AK5" s="1212"/>
      <c r="AL5" s="1213"/>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89" t="s">
        <v>299</v>
      </c>
      <c r="B19" s="6"/>
      <c r="C19" s="6"/>
      <c r="D19" s="6"/>
      <c r="E19" s="6"/>
      <c r="F19" s="6"/>
      <c r="G19" s="6"/>
      <c r="H19" s="6"/>
      <c r="I19" s="6"/>
      <c r="J19" s="6"/>
      <c r="K19" s="6"/>
      <c r="L19" s="6"/>
      <c r="M19" s="6"/>
      <c r="N19" s="6"/>
      <c r="O19" s="6"/>
      <c r="P19" s="6"/>
      <c r="Q19" s="6"/>
      <c r="R19" s="6"/>
      <c r="S19" s="7"/>
      <c r="T19" s="9" t="s">
        <v>300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89" t="s">
        <v>301</v>
      </c>
      <c r="B43" s="6"/>
      <c r="C43" s="6"/>
      <c r="D43" s="6"/>
      <c r="E43" s="6"/>
      <c r="F43" s="6"/>
      <c r="G43" s="6"/>
      <c r="H43" s="6"/>
      <c r="I43" s="6"/>
      <c r="J43" s="6"/>
      <c r="K43" s="6"/>
      <c r="L43" s="6"/>
      <c r="M43" s="6"/>
      <c r="N43" s="6"/>
      <c r="O43" s="6"/>
      <c r="P43" s="6"/>
      <c r="Q43" s="6"/>
      <c r="R43" s="6"/>
      <c r="S43" s="7"/>
      <c r="T43" s="9" t="s">
        <v>302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row>
    <row r="46" spans="1:38" ht="14.25" customHeight="1">
      <c r="A46" s="1187" t="s">
        <v>235</v>
      </c>
      <c r="B46" s="1186"/>
      <c r="C46" s="1182"/>
      <c r="D46" s="1183"/>
      <c r="E46" s="1186" t="s">
        <v>236</v>
      </c>
      <c r="F46" s="1186"/>
      <c r="G46" s="1182"/>
      <c r="H46" s="1183"/>
      <c r="I46" s="8"/>
      <c r="J46" s="10"/>
      <c r="K46" s="10"/>
      <c r="L46" s="10"/>
      <c r="M46" s="87" t="s">
        <v>237</v>
      </c>
      <c r="N46" s="1214">
        <f>IF(C47&gt;0,(((G47-G46)/(C47-C46))^-1-IF(AG52&gt;0,AG52^-1,0))^-1,0)</f>
        <v>0</v>
      </c>
      <c r="O46" s="1215"/>
      <c r="P46" s="1197"/>
      <c r="Q46" s="1198"/>
      <c r="R46" s="1198"/>
      <c r="S46" s="11"/>
      <c r="T46" s="1187" t="s">
        <v>235</v>
      </c>
      <c r="U46" s="1186"/>
      <c r="V46" s="1182"/>
      <c r="W46" s="1183"/>
      <c r="X46" s="1186" t="s">
        <v>236</v>
      </c>
      <c r="Y46" s="1186"/>
      <c r="Z46" s="1182"/>
      <c r="AA46" s="1183"/>
      <c r="AB46" s="8"/>
      <c r="AC46" s="10"/>
      <c r="AD46" s="10"/>
      <c r="AE46" s="10"/>
      <c r="AF46" s="87" t="s">
        <v>237</v>
      </c>
      <c r="AG46" s="1190">
        <f>IF((V47-V46)&gt;0,(Z47-Z46)/(V47-V46),0)</f>
        <v>0</v>
      </c>
      <c r="AH46" s="1191"/>
      <c r="AI46" s="10"/>
      <c r="AJ46" s="10"/>
      <c r="AK46" s="10"/>
      <c r="AL46" s="11"/>
    </row>
    <row r="47" spans="1:38" ht="14.25" customHeight="1">
      <c r="A47" s="1187" t="s">
        <v>238</v>
      </c>
      <c r="B47" s="1186"/>
      <c r="C47" s="1182"/>
      <c r="D47" s="1183"/>
      <c r="E47" s="1186" t="s">
        <v>239</v>
      </c>
      <c r="F47" s="1186"/>
      <c r="G47" s="1182"/>
      <c r="H47" s="1183"/>
      <c r="I47" s="162" t="str">
        <f>IFERROR(IF(AND(N46&lt;0,G47&gt;G46),"Congrats! You've found an Easter egg!",""),"")</f>
        <v/>
      </c>
      <c r="N47" s="1220"/>
      <c r="O47" s="1220"/>
      <c r="P47" s="10"/>
      <c r="Q47" s="10"/>
      <c r="R47" s="10"/>
      <c r="S47" s="11"/>
      <c r="T47" s="1187" t="s">
        <v>238</v>
      </c>
      <c r="U47" s="1186"/>
      <c r="V47" s="1182"/>
      <c r="W47" s="1183"/>
      <c r="X47" s="1186" t="s">
        <v>239</v>
      </c>
      <c r="Y47" s="1186"/>
      <c r="Z47" s="1182"/>
      <c r="AA47" s="1183"/>
      <c r="AB47" s="8"/>
      <c r="AC47" s="8"/>
      <c r="AD47" s="8"/>
      <c r="AE47" s="8"/>
      <c r="AF47" s="8"/>
      <c r="AG47" s="8"/>
      <c r="AH47" s="8"/>
      <c r="AI47" s="10"/>
      <c r="AJ47" s="10"/>
      <c r="AK47" s="10"/>
      <c r="AL47" s="11"/>
    </row>
    <row r="48" spans="1:38">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240</v>
      </c>
      <c r="B49" s="10"/>
      <c r="C49" s="10"/>
      <c r="D49" s="10"/>
      <c r="E49" s="10"/>
      <c r="F49" s="10"/>
      <c r="G49" s="10"/>
      <c r="H49" s="10"/>
      <c r="I49" s="10"/>
      <c r="J49" s="10"/>
      <c r="K49" s="10"/>
      <c r="L49" s="10"/>
      <c r="M49" s="10"/>
      <c r="N49" s="10"/>
      <c r="O49" s="10"/>
      <c r="P49" s="10"/>
      <c r="Q49" s="10"/>
      <c r="R49" s="10"/>
      <c r="S49" s="11"/>
      <c r="T49" s="9" t="s">
        <v>246</v>
      </c>
      <c r="U49" s="8"/>
      <c r="V49" s="8"/>
      <c r="W49" s="8"/>
      <c r="X49" s="8"/>
      <c r="Y49" s="8"/>
      <c r="Z49" s="8"/>
      <c r="AA49" s="8"/>
      <c r="AB49" s="8"/>
      <c r="AC49" s="8"/>
      <c r="AD49" s="8"/>
      <c r="AE49" s="8"/>
      <c r="AF49" s="8"/>
      <c r="AG49" s="8"/>
      <c r="AH49" s="8"/>
      <c r="AI49" s="8"/>
      <c r="AJ49" s="8"/>
      <c r="AK49" s="8"/>
      <c r="AL49" s="85"/>
    </row>
    <row r="50" spans="1:38" ht="14.25">
      <c r="A50" s="1187" t="s">
        <v>242</v>
      </c>
      <c r="B50" s="1186"/>
      <c r="C50" s="1216"/>
      <c r="D50" s="1217"/>
      <c r="E50" s="8"/>
      <c r="F50" s="10"/>
      <c r="G50" s="10"/>
      <c r="H50" s="10"/>
      <c r="I50" s="10"/>
      <c r="J50" s="10"/>
      <c r="K50" s="10"/>
      <c r="L50" s="10"/>
      <c r="M50" s="10"/>
      <c r="N50" s="10"/>
      <c r="O50" s="10"/>
      <c r="P50" s="10"/>
      <c r="Q50" s="10"/>
      <c r="R50" s="10"/>
      <c r="S50" s="11"/>
      <c r="T50" s="9"/>
      <c r="U50" s="87" t="s">
        <v>249</v>
      </c>
      <c r="V50" s="1176">
        <f>C53</f>
        <v>400</v>
      </c>
      <c r="W50" s="1177"/>
      <c r="X50" s="8" t="s">
        <v>250</v>
      </c>
      <c r="Y50" s="8"/>
      <c r="Z50" s="8"/>
      <c r="AA50" s="8"/>
      <c r="AB50" s="8"/>
      <c r="AC50" s="8"/>
      <c r="AD50" s="8"/>
      <c r="AE50" s="8"/>
      <c r="AF50" s="87" t="s">
        <v>251</v>
      </c>
      <c r="AG50" s="1174">
        <f>V51*(1/64)*PI()*(V52^4-V53^4)*200000</f>
        <v>2678019744.2809067</v>
      </c>
      <c r="AH50" s="1175"/>
      <c r="AI50" s="612">
        <f>AG50*48/V50^3</f>
        <v>2008.51480821068</v>
      </c>
      <c r="AJ50" s="8"/>
      <c r="AK50" s="8"/>
      <c r="AL50" s="85"/>
    </row>
    <row r="51" spans="1:38" ht="14.25">
      <c r="A51" s="12"/>
      <c r="B51" s="10"/>
      <c r="C51" s="651" t="str">
        <f>IF(L67&gt;12.7,"Force must be taken at max. 12.7 mm deflection!","")</f>
        <v/>
      </c>
      <c r="D51" s="652"/>
      <c r="E51" s="10"/>
      <c r="F51" s="10"/>
      <c r="G51" s="10"/>
      <c r="H51" s="10"/>
      <c r="I51" s="10"/>
      <c r="J51" s="10"/>
      <c r="K51" s="10"/>
      <c r="L51" s="10"/>
      <c r="M51" s="10"/>
      <c r="N51" s="10"/>
      <c r="O51" s="10"/>
      <c r="P51" s="10"/>
      <c r="Q51" s="10"/>
      <c r="R51" s="10"/>
      <c r="S51" s="11"/>
      <c r="T51" s="9"/>
      <c r="U51" s="87" t="s">
        <v>252</v>
      </c>
      <c r="V51" s="1172">
        <v>2</v>
      </c>
      <c r="W51" s="1173"/>
      <c r="X51" s="8" t="s">
        <v>253</v>
      </c>
      <c r="Y51" s="8"/>
      <c r="Z51" s="8"/>
      <c r="AA51" s="8"/>
      <c r="AB51" s="8"/>
      <c r="AC51" s="8"/>
      <c r="AD51" s="8"/>
      <c r="AE51" s="8"/>
      <c r="AF51" s="87" t="s">
        <v>254</v>
      </c>
      <c r="AG51" s="1174">
        <f>IF(AG46&gt;0,(AG46*V50^3)/48,AG50)</f>
        <v>2678019744.2809067</v>
      </c>
      <c r="AH51" s="1175"/>
      <c r="AI51" s="612">
        <f>AG51*48/V50^3</f>
        <v>2008.51480821068</v>
      </c>
      <c r="AJ51" s="298">
        <f>100*AG51/AG50</f>
        <v>100</v>
      </c>
      <c r="AK51" s="8" t="s">
        <v>255</v>
      </c>
      <c r="AL51" s="85"/>
    </row>
    <row r="52" spans="1:38" ht="15.4">
      <c r="A52" s="86" t="s">
        <v>256</v>
      </c>
      <c r="B52" s="10"/>
      <c r="C52" s="10"/>
      <c r="D52" s="10"/>
      <c r="E52" s="10"/>
      <c r="F52" s="10"/>
      <c r="G52" s="10"/>
      <c r="H52" s="10"/>
      <c r="I52" s="10"/>
      <c r="J52" s="10"/>
      <c r="K52" s="10"/>
      <c r="L52" s="10"/>
      <c r="M52" s="10"/>
      <c r="N52" s="10"/>
      <c r="O52" s="10"/>
      <c r="P52" s="10"/>
      <c r="Q52" s="10"/>
      <c r="R52" s="10"/>
      <c r="S52" s="11"/>
      <c r="T52" s="9"/>
      <c r="U52" s="87" t="s">
        <v>257</v>
      </c>
      <c r="V52" s="1172">
        <v>25.4</v>
      </c>
      <c r="W52" s="1173"/>
      <c r="X52" s="8" t="s">
        <v>258</v>
      </c>
      <c r="Y52" s="8"/>
      <c r="Z52" s="8"/>
      <c r="AA52" s="8"/>
      <c r="AB52" s="8"/>
      <c r="AC52" s="8"/>
      <c r="AD52" s="8"/>
      <c r="AE52" s="8"/>
      <c r="AF52" s="87" t="s">
        <v>259</v>
      </c>
      <c r="AG52" s="1178">
        <f>IF(AJ51&lt;75,0,IF(AG51&gt;=AG50,0,(AI51^-1-AI50^-1)^-1))</f>
        <v>0</v>
      </c>
      <c r="AH52" s="1179"/>
      <c r="AI52" s="8"/>
      <c r="AJ52" s="8"/>
      <c r="AK52" s="8"/>
      <c r="AL52" s="85"/>
    </row>
    <row r="53" spans="1:38" ht="12.75" customHeight="1">
      <c r="A53" s="9"/>
      <c r="B53" s="88" t="s">
        <v>249</v>
      </c>
      <c r="C53" s="1182">
        <v>400</v>
      </c>
      <c r="D53" s="1183"/>
      <c r="E53" s="8" t="s">
        <v>260</v>
      </c>
      <c r="F53" s="10"/>
      <c r="G53" s="10"/>
      <c r="H53" s="10"/>
      <c r="I53" s="10"/>
      <c r="J53" s="10"/>
      <c r="K53" s="10"/>
      <c r="L53" s="10"/>
      <c r="M53" s="10"/>
      <c r="N53" s="10"/>
      <c r="O53" s="10"/>
      <c r="P53" s="10"/>
      <c r="Q53" s="10"/>
      <c r="R53" s="10"/>
      <c r="S53" s="11"/>
      <c r="T53" s="9"/>
      <c r="U53" s="87" t="s">
        <v>261</v>
      </c>
      <c r="V53" s="1172">
        <v>23</v>
      </c>
      <c r="W53" s="1173"/>
      <c r="X53" s="8" t="s">
        <v>262</v>
      </c>
      <c r="Y53" s="8"/>
      <c r="Z53" s="8"/>
      <c r="AA53" s="8"/>
      <c r="AB53" s="8"/>
      <c r="AC53" s="8"/>
      <c r="AD53" s="8"/>
      <c r="AE53" s="8"/>
      <c r="AF53" s="8"/>
      <c r="AG53" s="8"/>
      <c r="AH53" s="8"/>
      <c r="AI53" s="8"/>
      <c r="AJ53" s="8"/>
      <c r="AK53" s="8"/>
      <c r="AL53" s="85"/>
    </row>
    <row r="54" spans="1:38">
      <c r="A54" s="1203" t="s">
        <v>263</v>
      </c>
      <c r="B54" s="1204"/>
      <c r="C54" s="1182">
        <v>275</v>
      </c>
      <c r="D54" s="1183"/>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203" t="s">
        <v>265</v>
      </c>
      <c r="B55" s="1204"/>
      <c r="C55" s="1172"/>
      <c r="D55" s="1173"/>
      <c r="E55" s="8" t="s">
        <v>266</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203" t="s">
        <v>267</v>
      </c>
      <c r="B56" s="1204"/>
      <c r="C56" s="1172"/>
      <c r="D56" s="1173"/>
      <c r="E56" s="8" t="s">
        <v>67</v>
      </c>
      <c r="F56" s="8"/>
      <c r="G56" s="8"/>
      <c r="H56" s="8"/>
      <c r="I56" s="8"/>
      <c r="J56" s="361" t="str">
        <f>IF(C56&lt;0.4*C57,"Asymmetrical lay-up: skin too thin in comparison, see T3.4.4.","")</f>
        <v/>
      </c>
      <c r="K56" s="8"/>
      <c r="L56" s="8"/>
      <c r="M56" s="8"/>
      <c r="N56" s="8"/>
      <c r="O56" s="10"/>
      <c r="P56" s="10"/>
      <c r="Q56" s="10"/>
      <c r="R56" s="10"/>
      <c r="S56" s="11"/>
      <c r="T56" s="9"/>
      <c r="U56" s="1199" t="str">
        <f>IF(AND(0&lt;$AJ$51,$AJ$51&lt;75),"Rig compliance out of normal bounds, perform and document another rig compliance test!","")</f>
        <v/>
      </c>
      <c r="V56" s="1199"/>
      <c r="W56" s="1199"/>
      <c r="X56" s="1199"/>
      <c r="Y56" s="1199"/>
      <c r="Z56" s="1199"/>
      <c r="AA56" s="1199"/>
      <c r="AB56" s="1199"/>
      <c r="AC56" s="1199"/>
      <c r="AD56" s="1199"/>
      <c r="AE56" s="1199"/>
      <c r="AF56" s="1199"/>
      <c r="AG56" s="1199"/>
      <c r="AH56" s="1199"/>
      <c r="AI56" s="1199"/>
      <c r="AJ56" s="1199"/>
      <c r="AK56" s="1199"/>
      <c r="AL56" s="85"/>
    </row>
    <row r="57" spans="1:38" ht="15.75" customHeight="1">
      <c r="A57" s="1203" t="s">
        <v>268</v>
      </c>
      <c r="B57" s="1204"/>
      <c r="C57" s="1172"/>
      <c r="D57" s="1173"/>
      <c r="E57" s="8" t="s">
        <v>68</v>
      </c>
      <c r="F57" s="8"/>
      <c r="G57" s="8"/>
      <c r="H57" s="8"/>
      <c r="I57" s="8"/>
      <c r="J57" s="361" t="str">
        <f>IF(C57&lt;0.4*C56,"Asymmetrical lay-up: skin too thin in comparison, see T3.4.4.","")</f>
        <v/>
      </c>
      <c r="K57" s="8"/>
      <c r="L57" s="8"/>
      <c r="M57" s="8"/>
      <c r="N57" s="8"/>
      <c r="O57" s="10"/>
      <c r="P57" s="10"/>
      <c r="Q57" s="10"/>
      <c r="R57" s="10"/>
      <c r="S57" s="11"/>
      <c r="T57" s="9"/>
      <c r="U57" s="1199"/>
      <c r="V57" s="1199"/>
      <c r="W57" s="1199"/>
      <c r="X57" s="1199"/>
      <c r="Y57" s="1199"/>
      <c r="Z57" s="1199"/>
      <c r="AA57" s="1199"/>
      <c r="AB57" s="1199"/>
      <c r="AC57" s="1199"/>
      <c r="AD57" s="1199"/>
      <c r="AE57" s="1199"/>
      <c r="AF57" s="1199"/>
      <c r="AG57" s="1199"/>
      <c r="AH57" s="1199"/>
      <c r="AI57" s="1199"/>
      <c r="AJ57" s="1199"/>
      <c r="AK57" s="1199"/>
      <c r="AL57" s="85"/>
    </row>
    <row r="58" spans="1:38" ht="14.25">
      <c r="A58" s="90"/>
      <c r="B58" s="87" t="s">
        <v>269</v>
      </c>
      <c r="C58" s="1192">
        <f>(C54*(((C55+C56+C57)^3)-(C55^3)))/12</f>
        <v>0</v>
      </c>
      <c r="D58" s="1193"/>
      <c r="E58" s="8" t="s">
        <v>270</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271</v>
      </c>
      <c r="C59" s="1188">
        <f>IF(C47&gt;0,0.001*((N46*(C47-C46)*C53^3)/(48*C58*(C47-C46))),0)</f>
        <v>0</v>
      </c>
      <c r="D59" s="1189"/>
      <c r="E59" s="8" t="s">
        <v>272</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273</v>
      </c>
      <c r="C60" s="1190" t="e">
        <f>C50*C53*0.5*SUM(C55:D57)/(4*C58)</f>
        <v>#DIV/0!</v>
      </c>
      <c r="D60" s="1191"/>
      <c r="E60" s="93" t="s">
        <v>274</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39" t="s">
        <v>275</v>
      </c>
      <c r="S61" s="15"/>
      <c r="T61" s="539" t="s">
        <v>275</v>
      </c>
      <c r="AL61" s="15"/>
    </row>
    <row r="62" spans="1:38">
      <c r="A62" s="8" t="s">
        <v>276</v>
      </c>
      <c r="S62" s="15"/>
      <c r="T62" s="8" t="s">
        <v>276</v>
      </c>
      <c r="AL62" s="15"/>
    </row>
    <row r="63" spans="1:38">
      <c r="A63" s="8" t="s">
        <v>277</v>
      </c>
      <c r="B63" s="104"/>
      <c r="C63" s="104"/>
      <c r="D63" s="104"/>
      <c r="E63" s="104"/>
      <c r="F63" s="104"/>
      <c r="G63" s="104"/>
      <c r="H63" s="104"/>
      <c r="I63" s="104"/>
      <c r="J63" s="104"/>
      <c r="K63" s="104"/>
      <c r="L63" s="104"/>
      <c r="M63" s="104"/>
      <c r="N63" s="104"/>
      <c r="O63" s="104"/>
      <c r="P63" s="104"/>
      <c r="Q63" s="104"/>
      <c r="R63" s="104"/>
      <c r="S63" s="147"/>
      <c r="T63" s="8" t="s">
        <v>277</v>
      </c>
      <c r="U63" s="104"/>
      <c r="V63" s="104"/>
      <c r="W63" s="104"/>
      <c r="X63" s="104"/>
      <c r="Y63" s="104"/>
      <c r="Z63" s="104"/>
      <c r="AA63" s="104"/>
      <c r="AB63" s="104"/>
      <c r="AC63" s="104"/>
      <c r="AD63" s="104"/>
      <c r="AE63" s="104"/>
      <c r="AF63" s="104"/>
      <c r="AG63" s="104"/>
      <c r="AH63" s="104"/>
      <c r="AI63" s="104"/>
      <c r="AJ63" s="104"/>
      <c r="AK63" s="104"/>
      <c r="AL63" s="147"/>
    </row>
    <row r="64" spans="1:38">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3.25">
      <c r="A65" s="146"/>
      <c r="B65" s="541"/>
      <c r="C65" s="737" t="s">
        <v>278</v>
      </c>
      <c r="D65" s="738" t="s">
        <v>279</v>
      </c>
      <c r="H65" s="1218"/>
      <c r="I65" s="1218"/>
      <c r="J65" s="1010"/>
      <c r="K65" s="1010"/>
      <c r="L65" s="1010"/>
      <c r="M65" s="1010"/>
      <c r="N65" s="1010"/>
      <c r="O65" s="1010"/>
      <c r="S65" s="15"/>
      <c r="T65" s="4"/>
      <c r="U65" s="541"/>
      <c r="V65" s="737" t="s">
        <v>278</v>
      </c>
      <c r="W65" s="738" t="s">
        <v>279</v>
      </c>
      <c r="AA65" s="1219"/>
      <c r="AB65" s="1219"/>
      <c r="AL65" s="15"/>
    </row>
    <row r="66" spans="1:38" ht="14.25">
      <c r="A66" s="146"/>
      <c r="B66" s="542">
        <v>1</v>
      </c>
      <c r="C66" s="824"/>
      <c r="D66" s="825"/>
      <c r="G66" s="514"/>
      <c r="H66" s="1017"/>
      <c r="I66" s="1017"/>
      <c r="J66" s="1010" t="s">
        <v>284</v>
      </c>
      <c r="K66" s="1010"/>
      <c r="L66" s="1010" cm="1">
        <f t="array" ref="L66">MATCH(MIN(ABS(C66:C365-C50)),ABS(C66:C365-C50),0)</f>
        <v>1</v>
      </c>
      <c r="M66" s="1010"/>
      <c r="N66" s="1010"/>
      <c r="O66" s="1010"/>
      <c r="S66" s="15"/>
      <c r="T66" s="4"/>
      <c r="U66" s="542">
        <v>1</v>
      </c>
      <c r="V66" s="824"/>
      <c r="W66" s="825"/>
      <c r="Z66" s="514"/>
      <c r="AA66" s="540"/>
      <c r="AB66" s="540"/>
      <c r="AL66" s="15"/>
    </row>
    <row r="67" spans="1:38">
      <c r="A67" s="146"/>
      <c r="B67" s="542">
        <v>2</v>
      </c>
      <c r="C67" s="826"/>
      <c r="D67" s="827"/>
      <c r="G67" s="1016"/>
      <c r="H67" s="1010"/>
      <c r="I67" s="1010"/>
      <c r="J67" s="1010" t="s">
        <v>283</v>
      </c>
      <c r="K67" s="1010"/>
      <c r="L67" s="1010" cm="1">
        <f t="array" ref="L67">INDEX(C66:E393,L66,2)</f>
        <v>0</v>
      </c>
      <c r="M67" s="1010"/>
      <c r="N67" s="1010"/>
      <c r="O67" s="1010"/>
      <c r="S67" s="15"/>
      <c r="T67" s="4"/>
      <c r="U67" s="542">
        <v>2</v>
      </c>
      <c r="V67" s="826"/>
      <c r="W67" s="827"/>
      <c r="Z67" s="1016"/>
      <c r="AL67" s="15"/>
    </row>
    <row r="68" spans="1:38">
      <c r="A68" s="146"/>
      <c r="B68" s="542">
        <v>3</v>
      </c>
      <c r="C68" s="826"/>
      <c r="D68" s="827"/>
      <c r="G68" s="1016"/>
      <c r="H68" s="1010"/>
      <c r="I68" s="1010"/>
      <c r="J68" s="1010"/>
      <c r="K68" s="1010"/>
      <c r="L68" s="1010"/>
      <c r="M68" s="1010"/>
      <c r="N68" s="1010"/>
      <c r="O68" s="1010"/>
      <c r="S68" s="15"/>
      <c r="T68" s="4"/>
      <c r="U68" s="542">
        <v>3</v>
      </c>
      <c r="V68" s="826"/>
      <c r="W68" s="827"/>
      <c r="Z68" s="1016"/>
      <c r="AL68" s="15"/>
    </row>
    <row r="69" spans="1:38">
      <c r="A69" s="146"/>
      <c r="B69" s="542">
        <v>4</v>
      </c>
      <c r="C69" s="826"/>
      <c r="D69" s="827"/>
      <c r="H69" s="1010"/>
      <c r="I69" s="1010"/>
      <c r="J69" s="1010"/>
      <c r="K69" s="1010"/>
      <c r="L69" s="1010"/>
      <c r="M69" s="1010"/>
      <c r="N69" s="1010"/>
      <c r="O69" s="1010"/>
      <c r="S69" s="15"/>
      <c r="T69" s="4"/>
      <c r="U69" s="542">
        <v>4</v>
      </c>
      <c r="V69" s="826"/>
      <c r="W69" s="827"/>
      <c r="AL69" s="15"/>
    </row>
    <row r="70" spans="1:38">
      <c r="A70" s="146"/>
      <c r="B70" s="542">
        <v>5</v>
      </c>
      <c r="C70" s="826"/>
      <c r="D70" s="827"/>
      <c r="H70" s="1010"/>
      <c r="I70" s="1010"/>
      <c r="J70" s="1010"/>
      <c r="K70" s="1010"/>
      <c r="L70" s="1010"/>
      <c r="M70" s="1010"/>
      <c r="N70" s="1010"/>
      <c r="O70" s="1010"/>
      <c r="S70" s="15"/>
      <c r="T70" s="4"/>
      <c r="U70" s="542">
        <v>5</v>
      </c>
      <c r="V70" s="826"/>
      <c r="W70" s="827"/>
      <c r="AL70" s="15"/>
    </row>
    <row r="71" spans="1:38">
      <c r="A71" s="146"/>
      <c r="B71" s="542">
        <v>6</v>
      </c>
      <c r="C71" s="826"/>
      <c r="D71" s="827"/>
      <c r="H71" s="1010"/>
      <c r="I71" s="1010"/>
      <c r="J71" s="1010"/>
      <c r="K71" s="1010"/>
      <c r="L71" s="1010"/>
      <c r="M71" s="1010"/>
      <c r="N71" s="1010"/>
      <c r="O71" s="1010"/>
      <c r="S71" s="15"/>
      <c r="T71" s="4"/>
      <c r="U71" s="542">
        <v>6</v>
      </c>
      <c r="V71" s="826"/>
      <c r="W71" s="827"/>
      <c r="AL71" s="15"/>
    </row>
    <row r="72" spans="1:38">
      <c r="A72" s="146"/>
      <c r="B72" s="542">
        <v>7</v>
      </c>
      <c r="C72" s="826"/>
      <c r="D72" s="827"/>
      <c r="H72" s="1010"/>
      <c r="I72" s="1010"/>
      <c r="J72" s="1010"/>
      <c r="K72" s="1010"/>
      <c r="L72" s="1010"/>
      <c r="M72" s="1010"/>
      <c r="N72" s="1010"/>
      <c r="O72" s="1010"/>
      <c r="S72" s="15"/>
      <c r="T72" s="4"/>
      <c r="U72" s="542">
        <v>7</v>
      </c>
      <c r="V72" s="826"/>
      <c r="W72" s="827"/>
      <c r="AL72" s="15"/>
    </row>
    <row r="73" spans="1:38">
      <c r="A73" s="146"/>
      <c r="B73" s="542">
        <v>8</v>
      </c>
      <c r="C73" s="826"/>
      <c r="D73" s="827"/>
      <c r="S73" s="15"/>
      <c r="T73" s="4"/>
      <c r="U73" s="542">
        <v>8</v>
      </c>
      <c r="V73" s="826"/>
      <c r="W73" s="827"/>
      <c r="AL73" s="15"/>
    </row>
    <row r="74" spans="1:38">
      <c r="A74" s="146"/>
      <c r="B74" s="542">
        <v>9</v>
      </c>
      <c r="C74" s="826"/>
      <c r="D74" s="827"/>
      <c r="S74" s="15"/>
      <c r="T74" s="4"/>
      <c r="U74" s="542">
        <v>9</v>
      </c>
      <c r="V74" s="826"/>
      <c r="W74" s="827"/>
      <c r="AL74" s="15"/>
    </row>
    <row r="75" spans="1:38">
      <c r="A75" s="146"/>
      <c r="B75" s="542">
        <v>10</v>
      </c>
      <c r="C75" s="826"/>
      <c r="D75" s="827"/>
      <c r="S75" s="15"/>
      <c r="T75" s="4"/>
      <c r="U75" s="542">
        <v>10</v>
      </c>
      <c r="V75" s="826"/>
      <c r="W75" s="827"/>
      <c r="AL75" s="15"/>
    </row>
    <row r="76" spans="1:38">
      <c r="A76" s="146"/>
      <c r="B76" s="542">
        <v>11</v>
      </c>
      <c r="C76" s="826"/>
      <c r="D76" s="827"/>
      <c r="S76" s="15"/>
      <c r="T76" s="4"/>
      <c r="U76" s="542">
        <v>11</v>
      </c>
      <c r="V76" s="826"/>
      <c r="W76" s="827"/>
      <c r="AL76" s="15"/>
    </row>
    <row r="77" spans="1:38">
      <c r="A77" s="146"/>
      <c r="B77" s="542">
        <v>12</v>
      </c>
      <c r="C77" s="826"/>
      <c r="D77" s="827"/>
      <c r="S77" s="15"/>
      <c r="T77" s="4"/>
      <c r="U77" s="542">
        <v>12</v>
      </c>
      <c r="V77" s="826"/>
      <c r="W77" s="827"/>
      <c r="AL77" s="15"/>
    </row>
    <row r="78" spans="1:38">
      <c r="A78" s="146"/>
      <c r="B78" s="542">
        <v>13</v>
      </c>
      <c r="C78" s="826"/>
      <c r="D78" s="827"/>
      <c r="S78" s="15"/>
      <c r="T78" s="4"/>
      <c r="U78" s="542">
        <v>13</v>
      </c>
      <c r="V78" s="826"/>
      <c r="W78" s="827"/>
      <c r="AL78" s="15"/>
    </row>
    <row r="79" spans="1:38">
      <c r="A79" s="146"/>
      <c r="B79" s="542">
        <v>14</v>
      </c>
      <c r="C79" s="826"/>
      <c r="D79" s="827"/>
      <c r="S79" s="15"/>
      <c r="T79" s="4"/>
      <c r="U79" s="542">
        <v>14</v>
      </c>
      <c r="V79" s="826"/>
      <c r="W79" s="827"/>
      <c r="AL79" s="15"/>
    </row>
    <row r="80" spans="1:38">
      <c r="A80" s="146"/>
      <c r="B80" s="542">
        <v>15</v>
      </c>
      <c r="C80" s="826"/>
      <c r="D80" s="827"/>
      <c r="S80" s="15"/>
      <c r="T80" s="4"/>
      <c r="U80" s="542">
        <v>15</v>
      </c>
      <c r="V80" s="826"/>
      <c r="W80" s="827"/>
      <c r="AL80" s="15"/>
    </row>
    <row r="81" spans="1:38">
      <c r="A81" s="146"/>
      <c r="B81" s="542">
        <v>16</v>
      </c>
      <c r="C81" s="826"/>
      <c r="D81" s="827"/>
      <c r="S81" s="15"/>
      <c r="T81" s="4"/>
      <c r="U81" s="542">
        <v>16</v>
      </c>
      <c r="V81" s="826"/>
      <c r="W81" s="827"/>
      <c r="AL81" s="15"/>
    </row>
    <row r="82" spans="1:38">
      <c r="A82" s="146"/>
      <c r="B82" s="542">
        <v>17</v>
      </c>
      <c r="C82" s="826"/>
      <c r="D82" s="827"/>
      <c r="S82" s="15"/>
      <c r="T82" s="4"/>
      <c r="U82" s="542">
        <v>17</v>
      </c>
      <c r="V82" s="826"/>
      <c r="W82" s="827"/>
      <c r="AL82" s="15"/>
    </row>
    <row r="83" spans="1:38">
      <c r="A83" s="146"/>
      <c r="B83" s="542">
        <v>18</v>
      </c>
      <c r="C83" s="826"/>
      <c r="D83" s="827"/>
      <c r="S83" s="15"/>
      <c r="T83" s="4"/>
      <c r="U83" s="542">
        <v>18</v>
      </c>
      <c r="V83" s="826"/>
      <c r="W83" s="827"/>
      <c r="AL83" s="15"/>
    </row>
    <row r="84" spans="1:38">
      <c r="A84" s="146"/>
      <c r="B84" s="542">
        <v>19</v>
      </c>
      <c r="C84" s="826"/>
      <c r="D84" s="827"/>
      <c r="S84" s="15"/>
      <c r="T84" s="4"/>
      <c r="U84" s="542">
        <v>19</v>
      </c>
      <c r="V84" s="826"/>
      <c r="W84" s="827"/>
      <c r="AL84" s="15"/>
    </row>
    <row r="85" spans="1:38">
      <c r="A85" s="146"/>
      <c r="B85" s="542">
        <v>20</v>
      </c>
      <c r="C85" s="826"/>
      <c r="D85" s="827"/>
      <c r="S85" s="15"/>
      <c r="T85" s="4"/>
      <c r="U85" s="542">
        <v>20</v>
      </c>
      <c r="V85" s="826"/>
      <c r="W85" s="827"/>
      <c r="AL85" s="15"/>
    </row>
    <row r="86" spans="1:38">
      <c r="A86" s="146"/>
      <c r="B86" s="542">
        <v>21</v>
      </c>
      <c r="C86" s="826"/>
      <c r="D86" s="827"/>
      <c r="S86" s="15"/>
      <c r="T86" s="4"/>
      <c r="U86" s="542">
        <v>21</v>
      </c>
      <c r="V86" s="826"/>
      <c r="W86" s="827"/>
      <c r="AL86" s="15"/>
    </row>
    <row r="87" spans="1:38">
      <c r="A87" s="146"/>
      <c r="B87" s="542">
        <v>22</v>
      </c>
      <c r="C87" s="826"/>
      <c r="D87" s="827"/>
      <c r="S87" s="15"/>
      <c r="T87" s="4"/>
      <c r="U87" s="542">
        <v>22</v>
      </c>
      <c r="V87" s="826"/>
      <c r="W87" s="827"/>
      <c r="AL87" s="15"/>
    </row>
    <row r="88" spans="1:38">
      <c r="A88" s="146"/>
      <c r="B88" s="542">
        <v>23</v>
      </c>
      <c r="C88" s="826"/>
      <c r="D88" s="827"/>
      <c r="S88" s="15"/>
      <c r="T88" s="4"/>
      <c r="U88" s="542">
        <v>23</v>
      </c>
      <c r="V88" s="826"/>
      <c r="W88" s="827"/>
      <c r="AL88" s="15"/>
    </row>
    <row r="89" spans="1:38">
      <c r="A89" s="146"/>
      <c r="B89" s="542">
        <v>24</v>
      </c>
      <c r="C89" s="826"/>
      <c r="D89" s="827"/>
      <c r="S89" s="15"/>
      <c r="T89" s="4"/>
      <c r="U89" s="542">
        <v>24</v>
      </c>
      <c r="V89" s="826"/>
      <c r="W89" s="827"/>
      <c r="AL89" s="15"/>
    </row>
    <row r="90" spans="1:38">
      <c r="A90" s="146"/>
      <c r="B90" s="542">
        <v>25</v>
      </c>
      <c r="C90" s="826"/>
      <c r="D90" s="827"/>
      <c r="S90" s="15"/>
      <c r="T90" s="4"/>
      <c r="U90" s="542">
        <v>25</v>
      </c>
      <c r="V90" s="826"/>
      <c r="W90" s="827"/>
      <c r="AL90" s="15"/>
    </row>
    <row r="91" spans="1:38">
      <c r="A91" s="146"/>
      <c r="B91" s="542">
        <v>26</v>
      </c>
      <c r="C91" s="826"/>
      <c r="D91" s="827"/>
      <c r="S91" s="15"/>
      <c r="T91" s="4"/>
      <c r="U91" s="542">
        <v>26</v>
      </c>
      <c r="V91" s="826"/>
      <c r="W91" s="827"/>
      <c r="AL91" s="15"/>
    </row>
    <row r="92" spans="1:38">
      <c r="A92" s="146"/>
      <c r="B92" s="542">
        <v>27</v>
      </c>
      <c r="C92" s="826"/>
      <c r="D92" s="827"/>
      <c r="S92" s="15"/>
      <c r="T92" s="4"/>
      <c r="U92" s="542">
        <v>27</v>
      </c>
      <c r="V92" s="826"/>
      <c r="W92" s="827"/>
      <c r="AL92" s="15"/>
    </row>
    <row r="93" spans="1:38">
      <c r="A93" s="146"/>
      <c r="B93" s="542">
        <v>28</v>
      </c>
      <c r="C93" s="826"/>
      <c r="D93" s="827"/>
      <c r="S93" s="15"/>
      <c r="T93" s="4"/>
      <c r="U93" s="542">
        <v>28</v>
      </c>
      <c r="V93" s="826"/>
      <c r="W93" s="827"/>
      <c r="AL93" s="15"/>
    </row>
    <row r="94" spans="1:38">
      <c r="A94" s="146"/>
      <c r="B94" s="542">
        <v>29</v>
      </c>
      <c r="C94" s="826"/>
      <c r="D94" s="827"/>
      <c r="S94" s="15"/>
      <c r="T94" s="4"/>
      <c r="U94" s="542">
        <v>29</v>
      </c>
      <c r="V94" s="826"/>
      <c r="W94" s="827"/>
      <c r="AL94" s="15"/>
    </row>
    <row r="95" spans="1:38">
      <c r="A95" s="146"/>
      <c r="B95" s="542">
        <v>30</v>
      </c>
      <c r="C95" s="826"/>
      <c r="D95" s="827"/>
      <c r="S95" s="15"/>
      <c r="T95" s="4"/>
      <c r="U95" s="542">
        <v>30</v>
      </c>
      <c r="V95" s="826"/>
      <c r="W95" s="827"/>
      <c r="AL95" s="15"/>
    </row>
    <row r="96" spans="1:38">
      <c r="A96" s="146"/>
      <c r="B96" s="542">
        <v>31</v>
      </c>
      <c r="C96" s="826"/>
      <c r="D96" s="827"/>
      <c r="S96" s="15"/>
      <c r="T96" s="4"/>
      <c r="U96" s="542">
        <v>31</v>
      </c>
      <c r="V96" s="826"/>
      <c r="W96" s="827"/>
      <c r="AL96" s="15"/>
    </row>
    <row r="97" spans="1:38">
      <c r="A97" s="146"/>
      <c r="B97" s="542">
        <v>32</v>
      </c>
      <c r="C97" s="826"/>
      <c r="D97" s="827"/>
      <c r="S97" s="15"/>
      <c r="T97" s="4"/>
      <c r="U97" s="542">
        <v>32</v>
      </c>
      <c r="V97" s="826"/>
      <c r="W97" s="827"/>
      <c r="AL97" s="15"/>
    </row>
    <row r="98" spans="1:38">
      <c r="A98" s="146"/>
      <c r="B98" s="542">
        <v>33</v>
      </c>
      <c r="C98" s="826"/>
      <c r="D98" s="827"/>
      <c r="S98" s="15"/>
      <c r="T98" s="4"/>
      <c r="U98" s="542">
        <v>33</v>
      </c>
      <c r="V98" s="826"/>
      <c r="W98" s="827"/>
      <c r="AL98" s="15"/>
    </row>
    <row r="99" spans="1:38">
      <c r="A99" s="146"/>
      <c r="B99" s="542">
        <v>34</v>
      </c>
      <c r="C99" s="826"/>
      <c r="D99" s="827"/>
      <c r="S99" s="15"/>
      <c r="T99" s="4"/>
      <c r="U99" s="542">
        <v>34</v>
      </c>
      <c r="V99" s="826"/>
      <c r="W99" s="827"/>
      <c r="AL99" s="15"/>
    </row>
    <row r="100" spans="1:38">
      <c r="A100" s="146"/>
      <c r="B100" s="542">
        <v>35</v>
      </c>
      <c r="C100" s="826"/>
      <c r="D100" s="827"/>
      <c r="S100" s="15"/>
      <c r="T100" s="4"/>
      <c r="U100" s="542">
        <v>35</v>
      </c>
      <c r="V100" s="826"/>
      <c r="W100" s="827"/>
      <c r="AL100" s="15"/>
    </row>
    <row r="101" spans="1:38">
      <c r="A101" s="146"/>
      <c r="B101" s="542">
        <v>36</v>
      </c>
      <c r="C101" s="826"/>
      <c r="D101" s="827"/>
      <c r="S101" s="15"/>
      <c r="T101" s="4"/>
      <c r="U101" s="542">
        <v>36</v>
      </c>
      <c r="V101" s="826"/>
      <c r="W101" s="827"/>
      <c r="AL101" s="15"/>
    </row>
    <row r="102" spans="1:38">
      <c r="A102" s="146"/>
      <c r="B102" s="542">
        <v>37</v>
      </c>
      <c r="C102" s="826"/>
      <c r="D102" s="827"/>
      <c r="S102" s="15"/>
      <c r="T102" s="4"/>
      <c r="U102" s="542">
        <v>37</v>
      </c>
      <c r="V102" s="826"/>
      <c r="W102" s="827"/>
      <c r="AL102" s="15"/>
    </row>
    <row r="103" spans="1:38">
      <c r="A103" s="146"/>
      <c r="B103" s="542">
        <v>38</v>
      </c>
      <c r="C103" s="826"/>
      <c r="D103" s="827"/>
      <c r="S103" s="15"/>
      <c r="T103" s="4"/>
      <c r="U103" s="542">
        <v>38</v>
      </c>
      <c r="V103" s="826"/>
      <c r="W103" s="827"/>
      <c r="AL103" s="15"/>
    </row>
    <row r="104" spans="1:38">
      <c r="A104" s="146"/>
      <c r="B104" s="542">
        <v>39</v>
      </c>
      <c r="C104" s="826"/>
      <c r="D104" s="827"/>
      <c r="S104" s="15"/>
      <c r="T104" s="4"/>
      <c r="U104" s="542">
        <v>39</v>
      </c>
      <c r="V104" s="826"/>
      <c r="W104" s="827"/>
      <c r="AL104" s="15"/>
    </row>
    <row r="105" spans="1:38">
      <c r="A105" s="146"/>
      <c r="B105" s="542">
        <v>40</v>
      </c>
      <c r="C105" s="826"/>
      <c r="D105" s="827"/>
      <c r="S105" s="15"/>
      <c r="T105" s="4"/>
      <c r="U105" s="542">
        <v>40</v>
      </c>
      <c r="V105" s="826"/>
      <c r="W105" s="827"/>
      <c r="AL105" s="15"/>
    </row>
    <row r="106" spans="1:38">
      <c r="A106" s="146"/>
      <c r="B106" s="542">
        <v>41</v>
      </c>
      <c r="C106" s="826"/>
      <c r="D106" s="827"/>
      <c r="S106" s="15"/>
      <c r="T106" s="4"/>
      <c r="U106" s="542">
        <v>41</v>
      </c>
      <c r="V106" s="826"/>
      <c r="W106" s="827"/>
      <c r="AL106" s="15"/>
    </row>
    <row r="107" spans="1:38">
      <c r="A107" s="146"/>
      <c r="B107" s="542">
        <v>42</v>
      </c>
      <c r="C107" s="826"/>
      <c r="D107" s="827"/>
      <c r="S107" s="15"/>
      <c r="T107" s="4"/>
      <c r="U107" s="542">
        <v>42</v>
      </c>
      <c r="V107" s="826"/>
      <c r="W107" s="827"/>
      <c r="AL107" s="15"/>
    </row>
    <row r="108" spans="1:38">
      <c r="A108" s="146"/>
      <c r="B108" s="542">
        <v>43</v>
      </c>
      <c r="C108" s="826"/>
      <c r="D108" s="827"/>
      <c r="S108" s="15"/>
      <c r="T108" s="4"/>
      <c r="U108" s="542">
        <v>43</v>
      </c>
      <c r="V108" s="826"/>
      <c r="W108" s="827"/>
      <c r="AL108" s="15"/>
    </row>
    <row r="109" spans="1:38">
      <c r="A109" s="146"/>
      <c r="B109" s="542">
        <v>44</v>
      </c>
      <c r="C109" s="826"/>
      <c r="D109" s="827"/>
      <c r="S109" s="15"/>
      <c r="T109" s="4"/>
      <c r="U109" s="542">
        <v>44</v>
      </c>
      <c r="V109" s="826"/>
      <c r="W109" s="827"/>
      <c r="AL109" s="15"/>
    </row>
    <row r="110" spans="1:38">
      <c r="A110" s="146"/>
      <c r="B110" s="542">
        <v>45</v>
      </c>
      <c r="C110" s="826"/>
      <c r="D110" s="827"/>
      <c r="S110" s="15"/>
      <c r="T110" s="4"/>
      <c r="U110" s="542">
        <v>45</v>
      </c>
      <c r="V110" s="826"/>
      <c r="W110" s="827"/>
      <c r="AL110" s="15"/>
    </row>
    <row r="111" spans="1:38">
      <c r="A111" s="146"/>
      <c r="B111" s="542">
        <v>46</v>
      </c>
      <c r="C111" s="826"/>
      <c r="D111" s="827"/>
      <c r="S111" s="15"/>
      <c r="T111" s="4"/>
      <c r="U111" s="542">
        <v>46</v>
      </c>
      <c r="V111" s="826"/>
      <c r="W111" s="827"/>
      <c r="AL111" s="15"/>
    </row>
    <row r="112" spans="1:38">
      <c r="A112" s="146"/>
      <c r="B112" s="542">
        <v>47</v>
      </c>
      <c r="C112" s="826"/>
      <c r="D112" s="827"/>
      <c r="S112" s="15"/>
      <c r="T112" s="4"/>
      <c r="U112" s="542">
        <v>47</v>
      </c>
      <c r="V112" s="826"/>
      <c r="W112" s="827"/>
      <c r="AL112" s="15"/>
    </row>
    <row r="113" spans="1:38">
      <c r="A113" s="146"/>
      <c r="B113" s="542">
        <v>48</v>
      </c>
      <c r="C113" s="826"/>
      <c r="D113" s="827"/>
      <c r="S113" s="15"/>
      <c r="T113" s="4"/>
      <c r="U113" s="542">
        <v>48</v>
      </c>
      <c r="V113" s="826"/>
      <c r="W113" s="827"/>
      <c r="AL113" s="15"/>
    </row>
    <row r="114" spans="1:38">
      <c r="A114" s="146"/>
      <c r="B114" s="542">
        <v>49</v>
      </c>
      <c r="C114" s="826"/>
      <c r="D114" s="827"/>
      <c r="S114" s="15"/>
      <c r="T114" s="4"/>
      <c r="U114" s="542">
        <v>49</v>
      </c>
      <c r="V114" s="826"/>
      <c r="W114" s="827"/>
      <c r="AL114" s="15"/>
    </row>
    <row r="115" spans="1:38">
      <c r="A115" s="146"/>
      <c r="B115" s="542">
        <v>50</v>
      </c>
      <c r="C115" s="826"/>
      <c r="D115" s="827"/>
      <c r="S115" s="15"/>
      <c r="T115" s="4"/>
      <c r="U115" s="542">
        <v>50</v>
      </c>
      <c r="V115" s="826"/>
      <c r="W115" s="827"/>
      <c r="AL115" s="15"/>
    </row>
    <row r="116" spans="1:38">
      <c r="A116" s="146"/>
      <c r="B116" s="542">
        <v>51</v>
      </c>
      <c r="C116" s="826"/>
      <c r="D116" s="827"/>
      <c r="S116" s="15"/>
      <c r="T116" s="4"/>
      <c r="U116" s="542">
        <v>51</v>
      </c>
      <c r="V116" s="826"/>
      <c r="W116" s="827"/>
      <c r="AL116" s="15"/>
    </row>
    <row r="117" spans="1:38">
      <c r="A117" s="146"/>
      <c r="B117" s="542">
        <v>52</v>
      </c>
      <c r="C117" s="826"/>
      <c r="D117" s="827"/>
      <c r="S117" s="15"/>
      <c r="T117" s="4"/>
      <c r="U117" s="542">
        <v>52</v>
      </c>
      <c r="V117" s="826"/>
      <c r="W117" s="827"/>
      <c r="AL117" s="15"/>
    </row>
    <row r="118" spans="1:38">
      <c r="A118" s="146"/>
      <c r="B118" s="542">
        <v>53</v>
      </c>
      <c r="C118" s="826"/>
      <c r="D118" s="827"/>
      <c r="S118" s="15"/>
      <c r="T118" s="4"/>
      <c r="U118" s="542">
        <v>53</v>
      </c>
      <c r="V118" s="826"/>
      <c r="W118" s="827"/>
      <c r="AL118" s="15"/>
    </row>
    <row r="119" spans="1:38">
      <c r="A119" s="146"/>
      <c r="B119" s="542">
        <v>54</v>
      </c>
      <c r="C119" s="826"/>
      <c r="D119" s="827"/>
      <c r="S119" s="15"/>
      <c r="T119" s="4"/>
      <c r="U119" s="542">
        <v>54</v>
      </c>
      <c r="V119" s="826"/>
      <c r="W119" s="827"/>
      <c r="AL119" s="15"/>
    </row>
    <row r="120" spans="1:38">
      <c r="A120" s="146"/>
      <c r="B120" s="542">
        <v>55</v>
      </c>
      <c r="C120" s="826"/>
      <c r="D120" s="827"/>
      <c r="S120" s="15"/>
      <c r="T120" s="4"/>
      <c r="U120" s="542">
        <v>55</v>
      </c>
      <c r="V120" s="826"/>
      <c r="W120" s="827"/>
      <c r="AL120" s="15"/>
    </row>
    <row r="121" spans="1:38">
      <c r="A121" s="146"/>
      <c r="B121" s="542">
        <v>56</v>
      </c>
      <c r="C121" s="826"/>
      <c r="D121" s="827"/>
      <c r="S121" s="15"/>
      <c r="T121" s="4"/>
      <c r="U121" s="542">
        <v>56</v>
      </c>
      <c r="V121" s="826"/>
      <c r="W121" s="827"/>
      <c r="AL121" s="15"/>
    </row>
    <row r="122" spans="1:38">
      <c r="A122" s="146"/>
      <c r="B122" s="542">
        <v>57</v>
      </c>
      <c r="C122" s="826"/>
      <c r="D122" s="827"/>
      <c r="S122" s="15"/>
      <c r="T122" s="4"/>
      <c r="U122" s="542">
        <v>57</v>
      </c>
      <c r="V122" s="826"/>
      <c r="W122" s="827"/>
      <c r="AL122" s="15"/>
    </row>
    <row r="123" spans="1:38">
      <c r="A123" s="146"/>
      <c r="B123" s="542">
        <v>58</v>
      </c>
      <c r="C123" s="826"/>
      <c r="D123" s="827"/>
      <c r="S123" s="15"/>
      <c r="T123" s="4"/>
      <c r="U123" s="542">
        <v>58</v>
      </c>
      <c r="V123" s="826"/>
      <c r="W123" s="827"/>
      <c r="AL123" s="15"/>
    </row>
    <row r="124" spans="1:38">
      <c r="A124" s="146"/>
      <c r="B124" s="542">
        <v>59</v>
      </c>
      <c r="C124" s="826"/>
      <c r="D124" s="827"/>
      <c r="S124" s="15"/>
      <c r="T124" s="4"/>
      <c r="U124" s="542">
        <v>59</v>
      </c>
      <c r="V124" s="826"/>
      <c r="W124" s="827"/>
      <c r="AL124" s="15"/>
    </row>
    <row r="125" spans="1:38">
      <c r="A125" s="146"/>
      <c r="B125" s="542">
        <v>60</v>
      </c>
      <c r="C125" s="826"/>
      <c r="D125" s="827"/>
      <c r="S125" s="15"/>
      <c r="T125" s="4"/>
      <c r="U125" s="542">
        <v>60</v>
      </c>
      <c r="V125" s="826"/>
      <c r="W125" s="827"/>
      <c r="AL125" s="15"/>
    </row>
    <row r="126" spans="1:38">
      <c r="A126" s="146"/>
      <c r="B126" s="542">
        <v>61</v>
      </c>
      <c r="C126" s="826"/>
      <c r="D126" s="827"/>
      <c r="S126" s="15"/>
      <c r="T126" s="4"/>
      <c r="U126" s="542">
        <v>61</v>
      </c>
      <c r="V126" s="826"/>
      <c r="W126" s="827"/>
      <c r="AL126" s="15"/>
    </row>
    <row r="127" spans="1:38">
      <c r="A127" s="146"/>
      <c r="B127" s="542">
        <v>62</v>
      </c>
      <c r="C127" s="826"/>
      <c r="D127" s="827"/>
      <c r="S127" s="15"/>
      <c r="T127" s="4"/>
      <c r="U127" s="542">
        <v>62</v>
      </c>
      <c r="V127" s="826"/>
      <c r="W127" s="827"/>
      <c r="AL127" s="15"/>
    </row>
    <row r="128" spans="1:38">
      <c r="A128" s="146"/>
      <c r="B128" s="542">
        <v>63</v>
      </c>
      <c r="C128" s="826"/>
      <c r="D128" s="827"/>
      <c r="S128" s="15"/>
      <c r="T128" s="4"/>
      <c r="U128" s="542">
        <v>63</v>
      </c>
      <c r="V128" s="826"/>
      <c r="W128" s="827"/>
      <c r="AL128" s="15"/>
    </row>
    <row r="129" spans="1:38">
      <c r="A129" s="146"/>
      <c r="B129" s="542">
        <v>64</v>
      </c>
      <c r="C129" s="826"/>
      <c r="D129" s="827"/>
      <c r="S129" s="15"/>
      <c r="T129" s="4"/>
      <c r="U129" s="542">
        <v>64</v>
      </c>
      <c r="V129" s="826"/>
      <c r="W129" s="827"/>
      <c r="AL129" s="15"/>
    </row>
    <row r="130" spans="1:38">
      <c r="A130" s="146"/>
      <c r="B130" s="542">
        <v>65</v>
      </c>
      <c r="C130" s="826"/>
      <c r="D130" s="827"/>
      <c r="S130" s="15"/>
      <c r="T130" s="4"/>
      <c r="U130" s="542">
        <v>65</v>
      </c>
      <c r="V130" s="826"/>
      <c r="W130" s="827"/>
      <c r="AL130" s="15"/>
    </row>
    <row r="131" spans="1:38">
      <c r="A131" s="146"/>
      <c r="B131" s="542">
        <v>66</v>
      </c>
      <c r="C131" s="826"/>
      <c r="D131" s="827"/>
      <c r="S131" s="15"/>
      <c r="T131" s="4"/>
      <c r="U131" s="542">
        <v>66</v>
      </c>
      <c r="V131" s="826"/>
      <c r="W131" s="827"/>
      <c r="AL131" s="15"/>
    </row>
    <row r="132" spans="1:38">
      <c r="A132" s="146"/>
      <c r="B132" s="542">
        <v>67</v>
      </c>
      <c r="C132" s="826"/>
      <c r="D132" s="827"/>
      <c r="S132" s="15"/>
      <c r="T132" s="4"/>
      <c r="U132" s="542">
        <v>67</v>
      </c>
      <c r="V132" s="826"/>
      <c r="W132" s="827"/>
      <c r="AL132" s="15"/>
    </row>
    <row r="133" spans="1:38">
      <c r="A133" s="146"/>
      <c r="B133" s="542">
        <v>68</v>
      </c>
      <c r="C133" s="826"/>
      <c r="D133" s="827"/>
      <c r="S133" s="15"/>
      <c r="T133" s="4"/>
      <c r="U133" s="542">
        <v>68</v>
      </c>
      <c r="V133" s="826"/>
      <c r="W133" s="827"/>
      <c r="AL133" s="15"/>
    </row>
    <row r="134" spans="1:38">
      <c r="A134" s="146"/>
      <c r="B134" s="542">
        <v>69</v>
      </c>
      <c r="C134" s="826"/>
      <c r="D134" s="827"/>
      <c r="S134" s="15"/>
      <c r="T134" s="4"/>
      <c r="U134" s="542">
        <v>69</v>
      </c>
      <c r="V134" s="826"/>
      <c r="W134" s="827"/>
      <c r="AL134" s="15"/>
    </row>
    <row r="135" spans="1:38">
      <c r="A135" s="146"/>
      <c r="B135" s="542">
        <v>70</v>
      </c>
      <c r="C135" s="826"/>
      <c r="D135" s="827"/>
      <c r="S135" s="15"/>
      <c r="T135" s="4"/>
      <c r="U135" s="542">
        <v>70</v>
      </c>
      <c r="V135" s="826"/>
      <c r="W135" s="827"/>
      <c r="AL135" s="15"/>
    </row>
    <row r="136" spans="1:38">
      <c r="A136" s="146"/>
      <c r="B136" s="542">
        <v>71</v>
      </c>
      <c r="C136" s="826"/>
      <c r="D136" s="827"/>
      <c r="S136" s="15"/>
      <c r="T136" s="4"/>
      <c r="U136" s="542">
        <v>71</v>
      </c>
      <c r="V136" s="826"/>
      <c r="W136" s="827"/>
      <c r="AL136" s="15"/>
    </row>
    <row r="137" spans="1:38">
      <c r="A137" s="146"/>
      <c r="B137" s="542">
        <v>72</v>
      </c>
      <c r="C137" s="826"/>
      <c r="D137" s="827"/>
      <c r="S137" s="15"/>
      <c r="T137" s="4"/>
      <c r="U137" s="542">
        <v>72</v>
      </c>
      <c r="V137" s="826"/>
      <c r="W137" s="827"/>
      <c r="AL137" s="15"/>
    </row>
    <row r="138" spans="1:38">
      <c r="A138" s="146"/>
      <c r="B138" s="542">
        <v>73</v>
      </c>
      <c r="C138" s="826"/>
      <c r="D138" s="827"/>
      <c r="S138" s="15"/>
      <c r="T138" s="4"/>
      <c r="U138" s="542">
        <v>73</v>
      </c>
      <c r="V138" s="826"/>
      <c r="W138" s="827"/>
      <c r="AL138" s="15"/>
    </row>
    <row r="139" spans="1:38">
      <c r="A139" s="146"/>
      <c r="B139" s="542">
        <v>74</v>
      </c>
      <c r="C139" s="826"/>
      <c r="D139" s="827"/>
      <c r="S139" s="15"/>
      <c r="T139" s="4"/>
      <c r="U139" s="542">
        <v>74</v>
      </c>
      <c r="V139" s="826"/>
      <c r="W139" s="827"/>
      <c r="AL139" s="15"/>
    </row>
    <row r="140" spans="1:38">
      <c r="A140" s="146"/>
      <c r="B140" s="542">
        <v>75</v>
      </c>
      <c r="C140" s="826"/>
      <c r="D140" s="827"/>
      <c r="S140" s="15"/>
      <c r="T140" s="4"/>
      <c r="U140" s="542">
        <v>75</v>
      </c>
      <c r="V140" s="826"/>
      <c r="W140" s="827"/>
      <c r="AL140" s="15"/>
    </row>
    <row r="141" spans="1:38">
      <c r="A141" s="146"/>
      <c r="B141" s="542">
        <v>76</v>
      </c>
      <c r="C141" s="826"/>
      <c r="D141" s="827"/>
      <c r="S141" s="15"/>
      <c r="T141" s="4"/>
      <c r="U141" s="542">
        <v>76</v>
      </c>
      <c r="V141" s="826"/>
      <c r="W141" s="827"/>
      <c r="AL141" s="15"/>
    </row>
    <row r="142" spans="1:38">
      <c r="A142" s="146"/>
      <c r="B142" s="542">
        <v>77</v>
      </c>
      <c r="C142" s="826"/>
      <c r="D142" s="827"/>
      <c r="S142" s="15"/>
      <c r="T142" s="4"/>
      <c r="U142" s="542">
        <v>77</v>
      </c>
      <c r="V142" s="826"/>
      <c r="W142" s="827"/>
      <c r="AL142" s="15"/>
    </row>
    <row r="143" spans="1:38">
      <c r="A143" s="146"/>
      <c r="B143" s="542">
        <v>78</v>
      </c>
      <c r="C143" s="826"/>
      <c r="D143" s="827"/>
      <c r="S143" s="15"/>
      <c r="T143" s="4"/>
      <c r="U143" s="542">
        <v>78</v>
      </c>
      <c r="V143" s="826"/>
      <c r="W143" s="827"/>
      <c r="AL143" s="15"/>
    </row>
    <row r="144" spans="1:38">
      <c r="A144" s="146"/>
      <c r="B144" s="542">
        <v>79</v>
      </c>
      <c r="C144" s="826"/>
      <c r="D144" s="827"/>
      <c r="S144" s="15"/>
      <c r="T144" s="4"/>
      <c r="U144" s="542">
        <v>79</v>
      </c>
      <c r="V144" s="826"/>
      <c r="W144" s="827"/>
      <c r="AL144" s="15"/>
    </row>
    <row r="145" spans="1:38">
      <c r="A145" s="146"/>
      <c r="B145" s="542">
        <v>80</v>
      </c>
      <c r="C145" s="826"/>
      <c r="D145" s="827"/>
      <c r="S145" s="15"/>
      <c r="T145" s="4"/>
      <c r="U145" s="542">
        <v>80</v>
      </c>
      <c r="V145" s="826"/>
      <c r="W145" s="827"/>
      <c r="AL145" s="15"/>
    </row>
    <row r="146" spans="1:38">
      <c r="A146" s="146"/>
      <c r="B146" s="542">
        <v>81</v>
      </c>
      <c r="C146" s="826"/>
      <c r="D146" s="827"/>
      <c r="S146" s="15"/>
      <c r="T146" s="4"/>
      <c r="U146" s="542">
        <v>81</v>
      </c>
      <c r="V146" s="826"/>
      <c r="W146" s="827"/>
      <c r="AL146" s="15"/>
    </row>
    <row r="147" spans="1:38">
      <c r="A147" s="146"/>
      <c r="B147" s="542">
        <v>82</v>
      </c>
      <c r="C147" s="826"/>
      <c r="D147" s="827"/>
      <c r="S147" s="15"/>
      <c r="T147" s="4"/>
      <c r="U147" s="542">
        <v>82</v>
      </c>
      <c r="V147" s="826"/>
      <c r="W147" s="827"/>
      <c r="AL147" s="15"/>
    </row>
    <row r="148" spans="1:38">
      <c r="A148" s="146"/>
      <c r="B148" s="542">
        <v>83</v>
      </c>
      <c r="C148" s="826"/>
      <c r="D148" s="827"/>
      <c r="S148" s="15"/>
      <c r="T148" s="4"/>
      <c r="U148" s="542">
        <v>83</v>
      </c>
      <c r="V148" s="826"/>
      <c r="W148" s="827"/>
      <c r="AL148" s="15"/>
    </row>
    <row r="149" spans="1:38">
      <c r="A149" s="146"/>
      <c r="B149" s="542">
        <v>84</v>
      </c>
      <c r="C149" s="826"/>
      <c r="D149" s="827"/>
      <c r="S149" s="15"/>
      <c r="T149" s="4"/>
      <c r="U149" s="542">
        <v>84</v>
      </c>
      <c r="V149" s="826"/>
      <c r="W149" s="827"/>
      <c r="AL149" s="15"/>
    </row>
    <row r="150" spans="1:38">
      <c r="A150" s="146"/>
      <c r="B150" s="542">
        <v>85</v>
      </c>
      <c r="C150" s="826"/>
      <c r="D150" s="827"/>
      <c r="S150" s="15"/>
      <c r="T150" s="4"/>
      <c r="U150" s="542">
        <v>85</v>
      </c>
      <c r="V150" s="826"/>
      <c r="W150" s="827"/>
      <c r="AL150" s="15"/>
    </row>
    <row r="151" spans="1:38">
      <c r="A151" s="146"/>
      <c r="B151" s="542">
        <v>86</v>
      </c>
      <c r="C151" s="826"/>
      <c r="D151" s="827"/>
      <c r="S151" s="15"/>
      <c r="T151" s="4"/>
      <c r="U151" s="542">
        <v>86</v>
      </c>
      <c r="V151" s="826"/>
      <c r="W151" s="827"/>
      <c r="AL151" s="15"/>
    </row>
    <row r="152" spans="1:38">
      <c r="A152" s="146"/>
      <c r="B152" s="542">
        <v>87</v>
      </c>
      <c r="C152" s="826"/>
      <c r="D152" s="827"/>
      <c r="S152" s="15"/>
      <c r="T152" s="4"/>
      <c r="U152" s="542">
        <v>87</v>
      </c>
      <c r="V152" s="826"/>
      <c r="W152" s="827"/>
      <c r="AL152" s="15"/>
    </row>
    <row r="153" spans="1:38">
      <c r="A153" s="146"/>
      <c r="B153" s="542">
        <v>88</v>
      </c>
      <c r="C153" s="826"/>
      <c r="D153" s="827"/>
      <c r="S153" s="15"/>
      <c r="T153" s="4"/>
      <c r="U153" s="542">
        <v>88</v>
      </c>
      <c r="V153" s="826"/>
      <c r="W153" s="827"/>
      <c r="AL153" s="15"/>
    </row>
    <row r="154" spans="1:38">
      <c r="A154" s="146"/>
      <c r="B154" s="542">
        <v>89</v>
      </c>
      <c r="C154" s="826"/>
      <c r="D154" s="827"/>
      <c r="S154" s="15"/>
      <c r="T154" s="4"/>
      <c r="U154" s="542">
        <v>89</v>
      </c>
      <c r="V154" s="826"/>
      <c r="W154" s="827"/>
      <c r="AL154" s="15"/>
    </row>
    <row r="155" spans="1:38">
      <c r="A155" s="146"/>
      <c r="B155" s="542">
        <v>90</v>
      </c>
      <c r="C155" s="826"/>
      <c r="D155" s="827"/>
      <c r="S155" s="15"/>
      <c r="T155" s="4"/>
      <c r="U155" s="542">
        <v>90</v>
      </c>
      <c r="V155" s="826"/>
      <c r="W155" s="827"/>
      <c r="AL155" s="15"/>
    </row>
    <row r="156" spans="1:38">
      <c r="A156" s="146"/>
      <c r="B156" s="542">
        <v>91</v>
      </c>
      <c r="C156" s="826"/>
      <c r="D156" s="827"/>
      <c r="S156" s="15"/>
      <c r="T156" s="4"/>
      <c r="U156" s="542">
        <v>91</v>
      </c>
      <c r="V156" s="826"/>
      <c r="W156" s="827"/>
      <c r="AL156" s="15"/>
    </row>
    <row r="157" spans="1:38">
      <c r="A157" s="146"/>
      <c r="B157" s="542">
        <v>92</v>
      </c>
      <c r="C157" s="826"/>
      <c r="D157" s="827"/>
      <c r="S157" s="15"/>
      <c r="T157" s="4"/>
      <c r="U157" s="542">
        <v>92</v>
      </c>
      <c r="V157" s="826"/>
      <c r="W157" s="827"/>
      <c r="AL157" s="15"/>
    </row>
    <row r="158" spans="1:38">
      <c r="A158" s="146"/>
      <c r="B158" s="542">
        <v>93</v>
      </c>
      <c r="C158" s="826"/>
      <c r="D158" s="827"/>
      <c r="S158" s="15"/>
      <c r="T158" s="4"/>
      <c r="U158" s="542">
        <v>93</v>
      </c>
      <c r="V158" s="826"/>
      <c r="W158" s="827"/>
      <c r="AL158" s="15"/>
    </row>
    <row r="159" spans="1:38">
      <c r="A159" s="146"/>
      <c r="B159" s="542">
        <v>94</v>
      </c>
      <c r="C159" s="826"/>
      <c r="D159" s="827"/>
      <c r="S159" s="15"/>
      <c r="T159" s="4"/>
      <c r="U159" s="542">
        <v>94</v>
      </c>
      <c r="V159" s="826"/>
      <c r="W159" s="827"/>
      <c r="AL159" s="15"/>
    </row>
    <row r="160" spans="1:38">
      <c r="A160" s="146"/>
      <c r="B160" s="542">
        <v>95</v>
      </c>
      <c r="C160" s="826"/>
      <c r="D160" s="827"/>
      <c r="S160" s="15"/>
      <c r="T160" s="4"/>
      <c r="U160" s="542">
        <v>95</v>
      </c>
      <c r="V160" s="826"/>
      <c r="W160" s="827"/>
      <c r="AL160" s="15"/>
    </row>
    <row r="161" spans="1:38">
      <c r="A161" s="146"/>
      <c r="B161" s="542">
        <v>96</v>
      </c>
      <c r="C161" s="826"/>
      <c r="D161" s="827"/>
      <c r="S161" s="15"/>
      <c r="T161" s="4"/>
      <c r="U161" s="542">
        <v>96</v>
      </c>
      <c r="V161" s="826"/>
      <c r="W161" s="827"/>
      <c r="AL161" s="15"/>
    </row>
    <row r="162" spans="1:38">
      <c r="A162" s="146"/>
      <c r="B162" s="542">
        <v>97</v>
      </c>
      <c r="C162" s="826"/>
      <c r="D162" s="827"/>
      <c r="S162" s="15"/>
      <c r="T162" s="4"/>
      <c r="U162" s="542">
        <v>97</v>
      </c>
      <c r="V162" s="826"/>
      <c r="W162" s="827"/>
      <c r="AL162" s="15"/>
    </row>
    <row r="163" spans="1:38">
      <c r="A163" s="146"/>
      <c r="B163" s="542">
        <v>98</v>
      </c>
      <c r="C163" s="826"/>
      <c r="D163" s="827"/>
      <c r="S163" s="15"/>
      <c r="T163" s="4"/>
      <c r="U163" s="542">
        <v>98</v>
      </c>
      <c r="V163" s="826"/>
      <c r="W163" s="827"/>
      <c r="AL163" s="15"/>
    </row>
    <row r="164" spans="1:38">
      <c r="A164" s="146"/>
      <c r="B164" s="542">
        <v>99</v>
      </c>
      <c r="C164" s="826"/>
      <c r="D164" s="827"/>
      <c r="S164" s="15"/>
      <c r="T164" s="4"/>
      <c r="U164" s="542">
        <v>99</v>
      </c>
      <c r="V164" s="826"/>
      <c r="W164" s="827"/>
      <c r="AL164" s="15"/>
    </row>
    <row r="165" spans="1:38">
      <c r="A165" s="146"/>
      <c r="B165" s="542">
        <v>100</v>
      </c>
      <c r="C165" s="826"/>
      <c r="D165" s="827"/>
      <c r="S165" s="15"/>
      <c r="T165" s="4"/>
      <c r="U165" s="542">
        <v>100</v>
      </c>
      <c r="V165" s="826"/>
      <c r="W165" s="827"/>
      <c r="AL165" s="15"/>
    </row>
    <row r="166" spans="1:38">
      <c r="A166" s="146"/>
      <c r="B166" s="542">
        <v>101</v>
      </c>
      <c r="C166" s="826"/>
      <c r="D166" s="827"/>
      <c r="S166" s="15"/>
      <c r="T166" s="4"/>
      <c r="U166" s="542">
        <v>101</v>
      </c>
      <c r="V166" s="826"/>
      <c r="W166" s="827"/>
      <c r="AL166" s="15"/>
    </row>
    <row r="167" spans="1:38">
      <c r="A167" s="146"/>
      <c r="B167" s="542">
        <v>102</v>
      </c>
      <c r="C167" s="826"/>
      <c r="D167" s="827"/>
      <c r="S167" s="15"/>
      <c r="T167" s="4"/>
      <c r="U167" s="542">
        <v>102</v>
      </c>
      <c r="V167" s="826"/>
      <c r="W167" s="827"/>
      <c r="AL167" s="15"/>
    </row>
    <row r="168" spans="1:38">
      <c r="A168" s="146"/>
      <c r="B168" s="542">
        <v>103</v>
      </c>
      <c r="C168" s="828"/>
      <c r="D168" s="829"/>
      <c r="S168" s="15"/>
      <c r="T168" s="4"/>
      <c r="U168" s="542">
        <v>103</v>
      </c>
      <c r="V168" s="828"/>
      <c r="W168" s="829"/>
      <c r="AL168" s="15"/>
    </row>
    <row r="169" spans="1:38">
      <c r="A169" s="146"/>
      <c r="B169" s="542">
        <v>104</v>
      </c>
      <c r="C169" s="828"/>
      <c r="D169" s="829"/>
      <c r="S169" s="15"/>
      <c r="T169" s="4"/>
      <c r="U169" s="542">
        <v>104</v>
      </c>
      <c r="V169" s="828"/>
      <c r="W169" s="829"/>
      <c r="AL169" s="15"/>
    </row>
    <row r="170" spans="1:38">
      <c r="A170" s="146"/>
      <c r="B170" s="542">
        <v>105</v>
      </c>
      <c r="C170" s="828"/>
      <c r="D170" s="829"/>
      <c r="S170" s="15"/>
      <c r="T170" s="4"/>
      <c r="U170" s="542">
        <v>105</v>
      </c>
      <c r="V170" s="828"/>
      <c r="W170" s="829"/>
      <c r="AL170" s="15"/>
    </row>
    <row r="171" spans="1:38">
      <c r="A171" s="146"/>
      <c r="B171" s="542">
        <v>106</v>
      </c>
      <c r="C171" s="828"/>
      <c r="D171" s="829"/>
      <c r="S171" s="15"/>
      <c r="T171" s="4"/>
      <c r="U171" s="542">
        <v>106</v>
      </c>
      <c r="V171" s="828"/>
      <c r="W171" s="829"/>
      <c r="AL171" s="15"/>
    </row>
    <row r="172" spans="1:38">
      <c r="A172" s="146"/>
      <c r="B172" s="542">
        <v>107</v>
      </c>
      <c r="C172" s="828"/>
      <c r="D172" s="829"/>
      <c r="S172" s="15"/>
      <c r="T172" s="4"/>
      <c r="U172" s="542">
        <v>107</v>
      </c>
      <c r="V172" s="828"/>
      <c r="W172" s="829"/>
      <c r="AL172" s="15"/>
    </row>
    <row r="173" spans="1:38">
      <c r="A173" s="146"/>
      <c r="B173" s="542">
        <v>108</v>
      </c>
      <c r="C173" s="828"/>
      <c r="D173" s="829"/>
      <c r="S173" s="15"/>
      <c r="T173" s="4"/>
      <c r="U173" s="542">
        <v>108</v>
      </c>
      <c r="V173" s="828"/>
      <c r="W173" s="829"/>
      <c r="AL173" s="15"/>
    </row>
    <row r="174" spans="1:38">
      <c r="A174" s="146"/>
      <c r="B174" s="542">
        <v>109</v>
      </c>
      <c r="C174" s="828"/>
      <c r="D174" s="829"/>
      <c r="S174" s="15"/>
      <c r="T174" s="4"/>
      <c r="U174" s="542">
        <v>109</v>
      </c>
      <c r="V174" s="828"/>
      <c r="W174" s="829"/>
      <c r="AL174" s="15"/>
    </row>
    <row r="175" spans="1:38">
      <c r="A175" s="146"/>
      <c r="B175" s="542">
        <v>110</v>
      </c>
      <c r="C175" s="828"/>
      <c r="D175" s="829"/>
      <c r="S175" s="15"/>
      <c r="T175" s="4"/>
      <c r="U175" s="542">
        <v>110</v>
      </c>
      <c r="V175" s="828"/>
      <c r="W175" s="829"/>
      <c r="AL175" s="15"/>
    </row>
    <row r="176" spans="1:38">
      <c r="A176" s="146"/>
      <c r="B176" s="542">
        <v>111</v>
      </c>
      <c r="C176" s="828"/>
      <c r="D176" s="829"/>
      <c r="S176" s="15"/>
      <c r="T176" s="4"/>
      <c r="U176" s="542">
        <v>111</v>
      </c>
      <c r="V176" s="828"/>
      <c r="W176" s="829"/>
      <c r="AL176" s="15"/>
    </row>
    <row r="177" spans="1:38">
      <c r="A177" s="146"/>
      <c r="B177" s="542">
        <v>112</v>
      </c>
      <c r="C177" s="828"/>
      <c r="D177" s="829"/>
      <c r="S177" s="15"/>
      <c r="T177" s="4"/>
      <c r="U177" s="542">
        <v>112</v>
      </c>
      <c r="V177" s="828"/>
      <c r="W177" s="829"/>
      <c r="AL177" s="15"/>
    </row>
    <row r="178" spans="1:38">
      <c r="A178" s="146"/>
      <c r="B178" s="542">
        <v>113</v>
      </c>
      <c r="C178" s="828"/>
      <c r="D178" s="829"/>
      <c r="S178" s="15"/>
      <c r="T178" s="4"/>
      <c r="U178" s="542">
        <v>113</v>
      </c>
      <c r="V178" s="828"/>
      <c r="W178" s="829"/>
      <c r="AL178" s="15"/>
    </row>
    <row r="179" spans="1:38">
      <c r="A179" s="146"/>
      <c r="B179" s="542">
        <v>114</v>
      </c>
      <c r="C179" s="828"/>
      <c r="D179" s="829"/>
      <c r="S179" s="15"/>
      <c r="T179" s="4"/>
      <c r="U179" s="542">
        <v>114</v>
      </c>
      <c r="V179" s="828"/>
      <c r="W179" s="829"/>
      <c r="AL179" s="15"/>
    </row>
    <row r="180" spans="1:38">
      <c r="A180" s="146"/>
      <c r="B180" s="542">
        <v>115</v>
      </c>
      <c r="C180" s="828"/>
      <c r="D180" s="829"/>
      <c r="S180" s="15"/>
      <c r="T180" s="4"/>
      <c r="U180" s="542">
        <v>115</v>
      </c>
      <c r="V180" s="828"/>
      <c r="W180" s="829"/>
      <c r="AL180" s="15"/>
    </row>
    <row r="181" spans="1:38">
      <c r="A181" s="146"/>
      <c r="B181" s="542">
        <v>116</v>
      </c>
      <c r="C181" s="828"/>
      <c r="D181" s="829"/>
      <c r="S181" s="15"/>
      <c r="T181" s="4"/>
      <c r="U181" s="542">
        <v>116</v>
      </c>
      <c r="V181" s="828"/>
      <c r="W181" s="829"/>
      <c r="AL181" s="15"/>
    </row>
    <row r="182" spans="1:38">
      <c r="A182" s="146"/>
      <c r="B182" s="542">
        <v>117</v>
      </c>
      <c r="C182" s="828"/>
      <c r="D182" s="829"/>
      <c r="S182" s="15"/>
      <c r="T182" s="4"/>
      <c r="U182" s="542">
        <v>117</v>
      </c>
      <c r="V182" s="828"/>
      <c r="W182" s="829"/>
      <c r="AL182" s="15"/>
    </row>
    <row r="183" spans="1:38">
      <c r="A183" s="146"/>
      <c r="B183" s="542">
        <v>118</v>
      </c>
      <c r="C183" s="828"/>
      <c r="D183" s="829"/>
      <c r="S183" s="15"/>
      <c r="T183" s="4"/>
      <c r="U183" s="542">
        <v>118</v>
      </c>
      <c r="V183" s="828"/>
      <c r="W183" s="829"/>
      <c r="AL183" s="15"/>
    </row>
    <row r="184" spans="1:38">
      <c r="A184" s="146"/>
      <c r="B184" s="542">
        <v>119</v>
      </c>
      <c r="C184" s="828"/>
      <c r="D184" s="829"/>
      <c r="S184" s="15"/>
      <c r="T184" s="4"/>
      <c r="U184" s="542">
        <v>119</v>
      </c>
      <c r="V184" s="828"/>
      <c r="W184" s="829"/>
      <c r="AL184" s="15"/>
    </row>
    <row r="185" spans="1:38">
      <c r="A185" s="146"/>
      <c r="B185" s="542">
        <v>120</v>
      </c>
      <c r="C185" s="828"/>
      <c r="D185" s="829"/>
      <c r="S185" s="15"/>
      <c r="T185" s="4"/>
      <c r="U185" s="542">
        <v>120</v>
      </c>
      <c r="V185" s="828"/>
      <c r="W185" s="829"/>
      <c r="AL185" s="15"/>
    </row>
    <row r="186" spans="1:38">
      <c r="A186" s="104"/>
      <c r="B186" s="542">
        <v>121</v>
      </c>
      <c r="C186" s="828"/>
      <c r="D186" s="829"/>
      <c r="S186" s="15"/>
      <c r="U186" s="542">
        <v>121</v>
      </c>
      <c r="V186" s="828"/>
      <c r="W186" s="829"/>
      <c r="AL186" s="15"/>
    </row>
    <row r="187" spans="1:38">
      <c r="B187" s="542">
        <v>122</v>
      </c>
      <c r="C187" s="828"/>
      <c r="D187" s="829"/>
      <c r="S187" s="15"/>
      <c r="U187" s="542">
        <v>122</v>
      </c>
      <c r="V187" s="828"/>
      <c r="W187" s="829"/>
      <c r="AL187" s="15"/>
    </row>
    <row r="188" spans="1:38">
      <c r="B188" s="542">
        <v>123</v>
      </c>
      <c r="C188" s="828"/>
      <c r="D188" s="829"/>
      <c r="S188" s="15"/>
      <c r="U188" s="542">
        <v>123</v>
      </c>
      <c r="V188" s="828"/>
      <c r="W188" s="829"/>
      <c r="AL188" s="15"/>
    </row>
    <row r="189" spans="1:38">
      <c r="B189" s="542">
        <v>124</v>
      </c>
      <c r="C189" s="828"/>
      <c r="D189" s="829"/>
      <c r="S189" s="15"/>
      <c r="U189" s="542">
        <v>124</v>
      </c>
      <c r="V189" s="828"/>
      <c r="W189" s="829"/>
      <c r="AL189" s="15"/>
    </row>
    <row r="190" spans="1:38">
      <c r="B190" s="542">
        <v>125</v>
      </c>
      <c r="C190" s="828"/>
      <c r="D190" s="829"/>
      <c r="S190" s="15"/>
      <c r="U190" s="542">
        <v>125</v>
      </c>
      <c r="V190" s="828"/>
      <c r="W190" s="829"/>
      <c r="AL190" s="15"/>
    </row>
    <row r="191" spans="1:38">
      <c r="B191" s="542">
        <v>126</v>
      </c>
      <c r="C191" s="828"/>
      <c r="D191" s="829"/>
      <c r="S191" s="15"/>
      <c r="U191" s="542">
        <v>126</v>
      </c>
      <c r="V191" s="828"/>
      <c r="W191" s="829"/>
      <c r="AL191" s="15"/>
    </row>
    <row r="192" spans="1:38">
      <c r="B192" s="542">
        <v>127</v>
      </c>
      <c r="C192" s="828"/>
      <c r="D192" s="829"/>
      <c r="S192" s="15"/>
      <c r="U192" s="542">
        <v>127</v>
      </c>
      <c r="V192" s="828"/>
      <c r="W192" s="829"/>
      <c r="AL192" s="15"/>
    </row>
    <row r="193" spans="2:38">
      <c r="B193" s="542">
        <v>128</v>
      </c>
      <c r="C193" s="828"/>
      <c r="D193" s="829"/>
      <c r="S193" s="15"/>
      <c r="U193" s="542">
        <v>128</v>
      </c>
      <c r="V193" s="828"/>
      <c r="W193" s="829"/>
      <c r="AL193" s="15"/>
    </row>
    <row r="194" spans="2:38">
      <c r="B194" s="542">
        <v>129</v>
      </c>
      <c r="C194" s="828"/>
      <c r="D194" s="829"/>
      <c r="S194" s="15"/>
      <c r="U194" s="542">
        <v>129</v>
      </c>
      <c r="V194" s="828"/>
      <c r="W194" s="829"/>
      <c r="AL194" s="15"/>
    </row>
    <row r="195" spans="2:38">
      <c r="B195" s="542">
        <v>130</v>
      </c>
      <c r="C195" s="828"/>
      <c r="D195" s="829"/>
      <c r="S195" s="15"/>
      <c r="U195" s="542">
        <v>130</v>
      </c>
      <c r="V195" s="828"/>
      <c r="W195" s="829"/>
      <c r="AL195" s="15"/>
    </row>
    <row r="196" spans="2:38">
      <c r="B196" s="542">
        <v>131</v>
      </c>
      <c r="C196" s="828"/>
      <c r="D196" s="829"/>
      <c r="S196" s="15"/>
      <c r="U196" s="542">
        <v>131</v>
      </c>
      <c r="V196" s="828"/>
      <c r="W196" s="829"/>
      <c r="AL196" s="15"/>
    </row>
    <row r="197" spans="2:38">
      <c r="B197" s="542">
        <v>132</v>
      </c>
      <c r="C197" s="828"/>
      <c r="D197" s="829"/>
      <c r="S197" s="15"/>
      <c r="U197" s="542">
        <v>132</v>
      </c>
      <c r="V197" s="828"/>
      <c r="W197" s="829"/>
      <c r="AL197" s="15"/>
    </row>
    <row r="198" spans="2:38">
      <c r="B198" s="542">
        <v>133</v>
      </c>
      <c r="C198" s="828"/>
      <c r="D198" s="829"/>
      <c r="S198" s="15"/>
      <c r="U198" s="542">
        <v>133</v>
      </c>
      <c r="V198" s="828"/>
      <c r="W198" s="829"/>
      <c r="AL198" s="15"/>
    </row>
    <row r="199" spans="2:38">
      <c r="B199" s="542">
        <v>134</v>
      </c>
      <c r="C199" s="828"/>
      <c r="D199" s="829"/>
      <c r="S199" s="15"/>
      <c r="U199" s="542">
        <v>134</v>
      </c>
      <c r="V199" s="828"/>
      <c r="W199" s="829"/>
      <c r="AL199" s="15"/>
    </row>
    <row r="200" spans="2:38">
      <c r="B200" s="542">
        <v>135</v>
      </c>
      <c r="C200" s="828"/>
      <c r="D200" s="829"/>
      <c r="S200" s="15"/>
      <c r="U200" s="542">
        <v>135</v>
      </c>
      <c r="V200" s="828"/>
      <c r="W200" s="829"/>
      <c r="AL200" s="15"/>
    </row>
    <row r="201" spans="2:38">
      <c r="B201" s="542">
        <v>136</v>
      </c>
      <c r="C201" s="828"/>
      <c r="D201" s="829"/>
      <c r="S201" s="15"/>
      <c r="U201" s="542">
        <v>136</v>
      </c>
      <c r="V201" s="828"/>
      <c r="W201" s="829"/>
      <c r="AL201" s="15"/>
    </row>
    <row r="202" spans="2:38">
      <c r="B202" s="542">
        <v>137</v>
      </c>
      <c r="C202" s="828"/>
      <c r="D202" s="829"/>
      <c r="S202" s="15"/>
      <c r="U202" s="542">
        <v>137</v>
      </c>
      <c r="V202" s="828"/>
      <c r="W202" s="829"/>
      <c r="AL202" s="15"/>
    </row>
    <row r="203" spans="2:38">
      <c r="B203" s="542">
        <v>138</v>
      </c>
      <c r="C203" s="828"/>
      <c r="D203" s="829"/>
      <c r="S203" s="15"/>
      <c r="U203" s="542">
        <v>138</v>
      </c>
      <c r="V203" s="828"/>
      <c r="W203" s="829"/>
      <c r="AL203" s="15"/>
    </row>
    <row r="204" spans="2:38">
      <c r="B204" s="542">
        <v>139</v>
      </c>
      <c r="C204" s="828"/>
      <c r="D204" s="829"/>
      <c r="S204" s="15"/>
      <c r="U204" s="542">
        <v>139</v>
      </c>
      <c r="V204" s="828"/>
      <c r="W204" s="829"/>
      <c r="AL204" s="15"/>
    </row>
    <row r="205" spans="2:38">
      <c r="B205" s="542">
        <v>140</v>
      </c>
      <c r="C205" s="828"/>
      <c r="D205" s="829"/>
      <c r="S205" s="15"/>
      <c r="U205" s="542">
        <v>140</v>
      </c>
      <c r="V205" s="828"/>
      <c r="W205" s="829"/>
      <c r="AL205" s="15"/>
    </row>
    <row r="206" spans="2:38">
      <c r="B206" s="542">
        <v>141</v>
      </c>
      <c r="C206" s="828"/>
      <c r="D206" s="829"/>
      <c r="S206" s="15"/>
      <c r="U206" s="542">
        <v>141</v>
      </c>
      <c r="V206" s="828"/>
      <c r="W206" s="829"/>
      <c r="AL206" s="15"/>
    </row>
    <row r="207" spans="2:38">
      <c r="B207" s="542">
        <v>142</v>
      </c>
      <c r="C207" s="828"/>
      <c r="D207" s="829"/>
      <c r="S207" s="15"/>
      <c r="U207" s="542">
        <v>142</v>
      </c>
      <c r="V207" s="828"/>
      <c r="W207" s="829"/>
      <c r="AL207" s="15"/>
    </row>
    <row r="208" spans="2:38">
      <c r="B208" s="542">
        <v>143</v>
      </c>
      <c r="C208" s="828"/>
      <c r="D208" s="829"/>
      <c r="S208" s="15"/>
      <c r="U208" s="542">
        <v>143</v>
      </c>
      <c r="V208" s="828"/>
      <c r="W208" s="829"/>
      <c r="AL208" s="15"/>
    </row>
    <row r="209" spans="2:38">
      <c r="B209" s="542">
        <v>144</v>
      </c>
      <c r="C209" s="828"/>
      <c r="D209" s="829"/>
      <c r="S209" s="15"/>
      <c r="U209" s="542">
        <v>144</v>
      </c>
      <c r="V209" s="828"/>
      <c r="W209" s="829"/>
      <c r="AL209" s="15"/>
    </row>
    <row r="210" spans="2:38">
      <c r="B210" s="542">
        <v>145</v>
      </c>
      <c r="C210" s="828"/>
      <c r="D210" s="829"/>
      <c r="S210" s="15"/>
      <c r="U210" s="542">
        <v>145</v>
      </c>
      <c r="V210" s="828"/>
      <c r="W210" s="829"/>
      <c r="AL210" s="15"/>
    </row>
    <row r="211" spans="2:38">
      <c r="B211" s="542">
        <v>146</v>
      </c>
      <c r="C211" s="828"/>
      <c r="D211" s="829"/>
      <c r="S211" s="15"/>
      <c r="U211" s="542">
        <v>146</v>
      </c>
      <c r="V211" s="828"/>
      <c r="W211" s="829"/>
      <c r="AL211" s="15"/>
    </row>
    <row r="212" spans="2:38">
      <c r="B212" s="542">
        <v>147</v>
      </c>
      <c r="C212" s="828"/>
      <c r="D212" s="829"/>
      <c r="S212" s="15"/>
      <c r="U212" s="542">
        <v>147</v>
      </c>
      <c r="V212" s="828"/>
      <c r="W212" s="829"/>
      <c r="AL212" s="15"/>
    </row>
    <row r="213" spans="2:38">
      <c r="B213" s="542">
        <v>148</v>
      </c>
      <c r="C213" s="828"/>
      <c r="D213" s="829"/>
      <c r="S213" s="15"/>
      <c r="U213" s="542">
        <v>148</v>
      </c>
      <c r="V213" s="828"/>
      <c r="W213" s="829"/>
      <c r="AL213" s="15"/>
    </row>
    <row r="214" spans="2:38">
      <c r="B214" s="542">
        <v>149</v>
      </c>
      <c r="C214" s="828"/>
      <c r="D214" s="829"/>
      <c r="S214" s="15"/>
      <c r="U214" s="542">
        <v>149</v>
      </c>
      <c r="V214" s="828"/>
      <c r="W214" s="829"/>
      <c r="AL214" s="15"/>
    </row>
    <row r="215" spans="2:38">
      <c r="B215" s="542">
        <v>150</v>
      </c>
      <c r="C215" s="828"/>
      <c r="D215" s="829"/>
      <c r="S215" s="15"/>
      <c r="U215" s="542">
        <v>150</v>
      </c>
      <c r="V215" s="828"/>
      <c r="W215" s="829"/>
      <c r="AL215" s="15"/>
    </row>
    <row r="216" spans="2:38">
      <c r="B216" s="542">
        <v>151</v>
      </c>
      <c r="C216" s="828"/>
      <c r="D216" s="829"/>
      <c r="S216" s="15"/>
      <c r="U216" s="542">
        <v>151</v>
      </c>
      <c r="V216" s="828"/>
      <c r="W216" s="829"/>
      <c r="AL216" s="15"/>
    </row>
    <row r="217" spans="2:38">
      <c r="B217" s="542">
        <v>152</v>
      </c>
      <c r="C217" s="828"/>
      <c r="D217" s="829"/>
      <c r="S217" s="15"/>
      <c r="U217" s="542">
        <v>152</v>
      </c>
      <c r="V217" s="828"/>
      <c r="W217" s="829"/>
      <c r="AL217" s="15"/>
    </row>
    <row r="218" spans="2:38">
      <c r="B218" s="542">
        <v>153</v>
      </c>
      <c r="C218" s="828"/>
      <c r="D218" s="829"/>
      <c r="S218" s="15"/>
      <c r="U218" s="542">
        <v>153</v>
      </c>
      <c r="V218" s="828"/>
      <c r="W218" s="829"/>
      <c r="AL218" s="15"/>
    </row>
    <row r="219" spans="2:38">
      <c r="B219" s="542">
        <v>154</v>
      </c>
      <c r="C219" s="828"/>
      <c r="D219" s="829"/>
      <c r="S219" s="15"/>
      <c r="U219" s="542">
        <v>154</v>
      </c>
      <c r="V219" s="828"/>
      <c r="W219" s="829"/>
      <c r="AL219" s="15"/>
    </row>
    <row r="220" spans="2:38">
      <c r="B220" s="542">
        <v>155</v>
      </c>
      <c r="C220" s="828"/>
      <c r="D220" s="829"/>
      <c r="S220" s="15"/>
      <c r="U220" s="542">
        <v>155</v>
      </c>
      <c r="V220" s="828"/>
      <c r="W220" s="829"/>
      <c r="AL220" s="15"/>
    </row>
    <row r="221" spans="2:38">
      <c r="B221" s="542">
        <v>156</v>
      </c>
      <c r="C221" s="828"/>
      <c r="D221" s="829"/>
      <c r="S221" s="15"/>
      <c r="U221" s="542">
        <v>156</v>
      </c>
      <c r="V221" s="828"/>
      <c r="W221" s="829"/>
      <c r="AL221" s="15"/>
    </row>
    <row r="222" spans="2:38">
      <c r="B222" s="542">
        <v>157</v>
      </c>
      <c r="C222" s="828"/>
      <c r="D222" s="829"/>
      <c r="S222" s="15"/>
      <c r="U222" s="542">
        <v>157</v>
      </c>
      <c r="V222" s="828"/>
      <c r="W222" s="829"/>
      <c r="AL222" s="15"/>
    </row>
    <row r="223" spans="2:38">
      <c r="B223" s="542">
        <v>158</v>
      </c>
      <c r="C223" s="828"/>
      <c r="D223" s="829"/>
      <c r="S223" s="15"/>
      <c r="U223" s="542">
        <v>158</v>
      </c>
      <c r="V223" s="828"/>
      <c r="W223" s="829"/>
      <c r="AL223" s="15"/>
    </row>
    <row r="224" spans="2:38">
      <c r="B224" s="542">
        <v>159</v>
      </c>
      <c r="C224" s="828"/>
      <c r="D224" s="829"/>
      <c r="S224" s="15"/>
      <c r="U224" s="542">
        <v>159</v>
      </c>
      <c r="V224" s="828"/>
      <c r="W224" s="829"/>
      <c r="AL224" s="15"/>
    </row>
    <row r="225" spans="2:38">
      <c r="B225" s="542">
        <v>160</v>
      </c>
      <c r="C225" s="828"/>
      <c r="D225" s="829"/>
      <c r="S225" s="15"/>
      <c r="U225" s="542">
        <v>160</v>
      </c>
      <c r="V225" s="828"/>
      <c r="W225" s="829"/>
      <c r="AL225" s="15"/>
    </row>
    <row r="226" spans="2:38">
      <c r="B226" s="542">
        <v>161</v>
      </c>
      <c r="C226" s="828"/>
      <c r="D226" s="829"/>
      <c r="S226" s="15"/>
      <c r="U226" s="542">
        <v>161</v>
      </c>
      <c r="V226" s="828"/>
      <c r="W226" s="829"/>
      <c r="AL226" s="15"/>
    </row>
    <row r="227" spans="2:38">
      <c r="B227" s="542">
        <v>162</v>
      </c>
      <c r="C227" s="828"/>
      <c r="D227" s="829"/>
      <c r="S227" s="15"/>
      <c r="U227" s="542">
        <v>162</v>
      </c>
      <c r="V227" s="828"/>
      <c r="W227" s="829"/>
      <c r="AL227" s="15"/>
    </row>
    <row r="228" spans="2:38">
      <c r="B228" s="542">
        <v>163</v>
      </c>
      <c r="C228" s="828"/>
      <c r="D228" s="829"/>
      <c r="S228" s="15"/>
      <c r="U228" s="542">
        <v>163</v>
      </c>
      <c r="V228" s="828"/>
      <c r="W228" s="829"/>
      <c r="AL228" s="15"/>
    </row>
    <row r="229" spans="2:38">
      <c r="B229" s="542">
        <v>164</v>
      </c>
      <c r="C229" s="828"/>
      <c r="D229" s="829"/>
      <c r="S229" s="15"/>
      <c r="U229" s="542">
        <v>164</v>
      </c>
      <c r="V229" s="828"/>
      <c r="W229" s="829"/>
      <c r="AL229" s="15"/>
    </row>
    <row r="230" spans="2:38">
      <c r="B230" s="542">
        <v>165</v>
      </c>
      <c r="C230" s="828"/>
      <c r="D230" s="829"/>
      <c r="S230" s="15"/>
      <c r="U230" s="542">
        <v>165</v>
      </c>
      <c r="V230" s="828"/>
      <c r="W230" s="829"/>
      <c r="AL230" s="15"/>
    </row>
    <row r="231" spans="2:38">
      <c r="B231" s="542">
        <v>166</v>
      </c>
      <c r="C231" s="828"/>
      <c r="D231" s="829"/>
      <c r="S231" s="15"/>
      <c r="U231" s="542">
        <v>166</v>
      </c>
      <c r="V231" s="828"/>
      <c r="W231" s="829"/>
      <c r="AL231" s="15"/>
    </row>
    <row r="232" spans="2:38">
      <c r="B232" s="542">
        <v>167</v>
      </c>
      <c r="C232" s="828"/>
      <c r="D232" s="829"/>
      <c r="S232" s="15"/>
      <c r="U232" s="542">
        <v>167</v>
      </c>
      <c r="V232" s="828"/>
      <c r="W232" s="829"/>
      <c r="AL232" s="15"/>
    </row>
    <row r="233" spans="2:38">
      <c r="B233" s="542">
        <v>168</v>
      </c>
      <c r="C233" s="828"/>
      <c r="D233" s="829"/>
      <c r="S233" s="15"/>
      <c r="U233" s="542">
        <v>168</v>
      </c>
      <c r="V233" s="828"/>
      <c r="W233" s="829"/>
      <c r="AL233" s="15"/>
    </row>
    <row r="234" spans="2:38">
      <c r="B234" s="542">
        <v>169</v>
      </c>
      <c r="C234" s="828"/>
      <c r="D234" s="829"/>
      <c r="S234" s="15"/>
      <c r="U234" s="542">
        <v>169</v>
      </c>
      <c r="V234" s="828"/>
      <c r="W234" s="829"/>
      <c r="AL234" s="15"/>
    </row>
    <row r="235" spans="2:38">
      <c r="B235" s="542">
        <v>170</v>
      </c>
      <c r="C235" s="828"/>
      <c r="D235" s="829"/>
      <c r="S235" s="15"/>
      <c r="U235" s="542">
        <v>170</v>
      </c>
      <c r="V235" s="828"/>
      <c r="W235" s="829"/>
      <c r="AL235" s="15"/>
    </row>
    <row r="236" spans="2:38">
      <c r="B236" s="542">
        <v>171</v>
      </c>
      <c r="C236" s="828"/>
      <c r="D236" s="829"/>
      <c r="S236" s="15"/>
      <c r="U236" s="542">
        <v>171</v>
      </c>
      <c r="V236" s="828"/>
      <c r="W236" s="829"/>
      <c r="AL236" s="15"/>
    </row>
    <row r="237" spans="2:38">
      <c r="B237" s="542">
        <v>172</v>
      </c>
      <c r="C237" s="828"/>
      <c r="D237" s="830"/>
      <c r="S237" s="15"/>
      <c r="U237" s="542">
        <v>172</v>
      </c>
      <c r="V237" s="828"/>
      <c r="W237" s="830"/>
      <c r="AL237" s="15"/>
    </row>
    <row r="238" spans="2:38">
      <c r="B238" s="542">
        <v>173</v>
      </c>
      <c r="C238" s="831"/>
      <c r="D238" s="830"/>
      <c r="S238" s="15"/>
      <c r="U238" s="542">
        <v>173</v>
      </c>
      <c r="V238" s="831"/>
      <c r="W238" s="830"/>
      <c r="AL238" s="15"/>
    </row>
    <row r="239" spans="2:38">
      <c r="B239" s="542">
        <v>174</v>
      </c>
      <c r="C239" s="831"/>
      <c r="D239" s="830"/>
      <c r="S239" s="15"/>
      <c r="U239" s="542">
        <v>174</v>
      </c>
      <c r="V239" s="831"/>
      <c r="W239" s="830"/>
      <c r="AL239" s="15"/>
    </row>
    <row r="240" spans="2:38">
      <c r="B240" s="542">
        <v>175</v>
      </c>
      <c r="C240" s="831"/>
      <c r="D240" s="830"/>
      <c r="S240" s="15"/>
      <c r="U240" s="542">
        <v>175</v>
      </c>
      <c r="V240" s="831"/>
      <c r="W240" s="830"/>
      <c r="AL240" s="15"/>
    </row>
    <row r="241" spans="2:38">
      <c r="B241" s="542">
        <v>176</v>
      </c>
      <c r="C241" s="831"/>
      <c r="D241" s="830"/>
      <c r="S241" s="15"/>
      <c r="U241" s="542">
        <v>176</v>
      </c>
      <c r="V241" s="831"/>
      <c r="W241" s="830"/>
      <c r="AL241" s="15"/>
    </row>
    <row r="242" spans="2:38">
      <c r="B242" s="542">
        <v>177</v>
      </c>
      <c r="C242" s="831"/>
      <c r="D242" s="830"/>
      <c r="S242" s="15"/>
      <c r="U242" s="542">
        <v>177</v>
      </c>
      <c r="V242" s="831"/>
      <c r="W242" s="830"/>
      <c r="AL242" s="15"/>
    </row>
    <row r="243" spans="2:38">
      <c r="B243" s="542">
        <v>178</v>
      </c>
      <c r="C243" s="831"/>
      <c r="D243" s="830"/>
      <c r="S243" s="15"/>
      <c r="U243" s="542">
        <v>178</v>
      </c>
      <c r="V243" s="831"/>
      <c r="W243" s="830"/>
      <c r="AL243" s="15"/>
    </row>
    <row r="244" spans="2:38">
      <c r="B244" s="542">
        <v>179</v>
      </c>
      <c r="C244" s="831"/>
      <c r="D244" s="830"/>
      <c r="S244" s="15"/>
      <c r="U244" s="542">
        <v>179</v>
      </c>
      <c r="V244" s="831"/>
      <c r="W244" s="830"/>
      <c r="AL244" s="15"/>
    </row>
    <row r="245" spans="2:38">
      <c r="B245" s="542">
        <v>180</v>
      </c>
      <c r="C245" s="831"/>
      <c r="D245" s="830"/>
      <c r="S245" s="15"/>
      <c r="U245" s="542">
        <v>180</v>
      </c>
      <c r="V245" s="831"/>
      <c r="W245" s="830"/>
      <c r="AL245" s="15"/>
    </row>
    <row r="246" spans="2:38">
      <c r="B246" s="542">
        <v>181</v>
      </c>
      <c r="C246" s="831"/>
      <c r="D246" s="830"/>
      <c r="S246" s="15"/>
      <c r="U246" s="542">
        <v>181</v>
      </c>
      <c r="V246" s="831"/>
      <c r="W246" s="830"/>
      <c r="AL246" s="15"/>
    </row>
    <row r="247" spans="2:38">
      <c r="B247" s="542">
        <v>182</v>
      </c>
      <c r="C247" s="831"/>
      <c r="D247" s="830"/>
      <c r="S247" s="15"/>
      <c r="U247" s="542">
        <v>182</v>
      </c>
      <c r="V247" s="831"/>
      <c r="W247" s="830"/>
      <c r="AL247" s="15"/>
    </row>
    <row r="248" spans="2:38">
      <c r="B248" s="542">
        <v>183</v>
      </c>
      <c r="C248" s="831"/>
      <c r="D248" s="830"/>
      <c r="S248" s="15"/>
      <c r="U248" s="542">
        <v>183</v>
      </c>
      <c r="V248" s="831"/>
      <c r="W248" s="830"/>
      <c r="AL248" s="15"/>
    </row>
    <row r="249" spans="2:38">
      <c r="B249" s="542">
        <v>184</v>
      </c>
      <c r="C249" s="831"/>
      <c r="D249" s="830"/>
      <c r="S249" s="15"/>
      <c r="U249" s="542">
        <v>184</v>
      </c>
      <c r="V249" s="831"/>
      <c r="W249" s="830"/>
      <c r="AL249" s="15"/>
    </row>
    <row r="250" spans="2:38">
      <c r="B250" s="542">
        <v>185</v>
      </c>
      <c r="C250" s="831"/>
      <c r="D250" s="830"/>
      <c r="S250" s="15"/>
      <c r="U250" s="542">
        <v>185</v>
      </c>
      <c r="V250" s="831"/>
      <c r="W250" s="830"/>
      <c r="AL250" s="15"/>
    </row>
    <row r="251" spans="2:38">
      <c r="B251" s="542">
        <v>186</v>
      </c>
      <c r="C251" s="831"/>
      <c r="D251" s="830"/>
      <c r="S251" s="15"/>
      <c r="U251" s="542">
        <v>186</v>
      </c>
      <c r="V251" s="831"/>
      <c r="W251" s="830"/>
      <c r="AL251" s="15"/>
    </row>
    <row r="252" spans="2:38">
      <c r="B252" s="542">
        <v>187</v>
      </c>
      <c r="C252" s="831"/>
      <c r="D252" s="830"/>
      <c r="S252" s="15"/>
      <c r="U252" s="542">
        <v>187</v>
      </c>
      <c r="V252" s="831"/>
      <c r="W252" s="830"/>
      <c r="AL252" s="15"/>
    </row>
    <row r="253" spans="2:38">
      <c r="B253" s="542">
        <v>188</v>
      </c>
      <c r="C253" s="831"/>
      <c r="D253" s="830"/>
      <c r="S253" s="15"/>
      <c r="U253" s="542">
        <v>188</v>
      </c>
      <c r="V253" s="831"/>
      <c r="W253" s="830"/>
      <c r="AL253" s="15"/>
    </row>
    <row r="254" spans="2:38">
      <c r="B254" s="542">
        <v>189</v>
      </c>
      <c r="C254" s="831"/>
      <c r="D254" s="830"/>
      <c r="S254" s="15"/>
      <c r="U254" s="542">
        <v>189</v>
      </c>
      <c r="V254" s="831"/>
      <c r="W254" s="830"/>
      <c r="AL254" s="15"/>
    </row>
    <row r="255" spans="2:38">
      <c r="B255" s="542">
        <v>190</v>
      </c>
      <c r="C255" s="831"/>
      <c r="D255" s="830"/>
      <c r="S255" s="15"/>
      <c r="U255" s="542">
        <v>190</v>
      </c>
      <c r="V255" s="831"/>
      <c r="W255" s="830"/>
      <c r="AL255" s="15"/>
    </row>
    <row r="256" spans="2:38">
      <c r="B256" s="542">
        <v>191</v>
      </c>
      <c r="C256" s="831"/>
      <c r="D256" s="830"/>
      <c r="S256" s="15"/>
      <c r="U256" s="542">
        <v>191</v>
      </c>
      <c r="V256" s="831"/>
      <c r="W256" s="830"/>
      <c r="AL256" s="15"/>
    </row>
    <row r="257" spans="2:38">
      <c r="B257" s="542">
        <v>192</v>
      </c>
      <c r="C257" s="831"/>
      <c r="D257" s="830"/>
      <c r="S257" s="15"/>
      <c r="U257" s="542">
        <v>192</v>
      </c>
      <c r="V257" s="831"/>
      <c r="W257" s="830"/>
      <c r="AL257" s="15"/>
    </row>
    <row r="258" spans="2:38">
      <c r="B258" s="542">
        <v>193</v>
      </c>
      <c r="C258" s="831"/>
      <c r="D258" s="830"/>
      <c r="S258" s="15"/>
      <c r="U258" s="542">
        <v>193</v>
      </c>
      <c r="V258" s="831"/>
      <c r="W258" s="830"/>
      <c r="AL258" s="15"/>
    </row>
    <row r="259" spans="2:38">
      <c r="B259" s="542">
        <v>194</v>
      </c>
      <c r="C259" s="831"/>
      <c r="D259" s="830"/>
      <c r="S259" s="15"/>
      <c r="U259" s="542">
        <v>194</v>
      </c>
      <c r="V259" s="831"/>
      <c r="W259" s="830"/>
      <c r="AL259" s="15"/>
    </row>
    <row r="260" spans="2:38">
      <c r="B260" s="542">
        <v>195</v>
      </c>
      <c r="C260" s="831"/>
      <c r="D260" s="830"/>
      <c r="S260" s="15"/>
      <c r="U260" s="542">
        <v>195</v>
      </c>
      <c r="V260" s="831"/>
      <c r="W260" s="830"/>
      <c r="AL260" s="15"/>
    </row>
    <row r="261" spans="2:38">
      <c r="B261" s="542">
        <v>196</v>
      </c>
      <c r="C261" s="831"/>
      <c r="D261" s="830"/>
      <c r="S261" s="15"/>
      <c r="U261" s="542">
        <v>196</v>
      </c>
      <c r="V261" s="831"/>
      <c r="W261" s="830"/>
      <c r="AL261" s="15"/>
    </row>
    <row r="262" spans="2:38">
      <c r="B262" s="542">
        <v>197</v>
      </c>
      <c r="C262" s="831"/>
      <c r="D262" s="830"/>
      <c r="S262" s="15"/>
      <c r="U262" s="542">
        <v>197</v>
      </c>
      <c r="V262" s="831"/>
      <c r="W262" s="830"/>
      <c r="AL262" s="15"/>
    </row>
    <row r="263" spans="2:38">
      <c r="B263" s="542">
        <v>198</v>
      </c>
      <c r="C263" s="831"/>
      <c r="D263" s="830"/>
      <c r="S263" s="15"/>
      <c r="U263" s="542">
        <v>198</v>
      </c>
      <c r="V263" s="831"/>
      <c r="W263" s="830"/>
      <c r="AL263" s="15"/>
    </row>
    <row r="264" spans="2:38">
      <c r="B264" s="542">
        <v>199</v>
      </c>
      <c r="C264" s="831"/>
      <c r="D264" s="830"/>
      <c r="S264" s="15"/>
      <c r="U264" s="542">
        <v>199</v>
      </c>
      <c r="V264" s="831"/>
      <c r="W264" s="830"/>
      <c r="AL264" s="15"/>
    </row>
    <row r="265" spans="2:38">
      <c r="B265" s="542">
        <v>200</v>
      </c>
      <c r="C265" s="831"/>
      <c r="D265" s="830"/>
      <c r="S265" s="15"/>
      <c r="U265" s="542">
        <v>200</v>
      </c>
      <c r="V265" s="831"/>
      <c r="W265" s="830"/>
      <c r="AL265" s="15"/>
    </row>
    <row r="266" spans="2:38">
      <c r="B266" s="542">
        <v>201</v>
      </c>
      <c r="C266" s="831"/>
      <c r="D266" s="830"/>
      <c r="S266" s="15"/>
      <c r="U266" s="542">
        <v>201</v>
      </c>
      <c r="V266" s="831"/>
      <c r="W266" s="830"/>
      <c r="AL266" s="15"/>
    </row>
    <row r="267" spans="2:38">
      <c r="B267" s="542">
        <v>202</v>
      </c>
      <c r="C267" s="831"/>
      <c r="D267" s="830"/>
      <c r="S267" s="15"/>
      <c r="U267" s="542">
        <v>202</v>
      </c>
      <c r="V267" s="831"/>
      <c r="W267" s="830"/>
      <c r="AL267" s="15"/>
    </row>
    <row r="268" spans="2:38">
      <c r="B268" s="542">
        <v>203</v>
      </c>
      <c r="C268" s="831"/>
      <c r="D268" s="830"/>
      <c r="S268" s="15"/>
      <c r="U268" s="542">
        <v>203</v>
      </c>
      <c r="V268" s="831"/>
      <c r="W268" s="830"/>
      <c r="AL268" s="15"/>
    </row>
    <row r="269" spans="2:38">
      <c r="B269" s="542">
        <v>204</v>
      </c>
      <c r="C269" s="831"/>
      <c r="D269" s="830"/>
      <c r="S269" s="15"/>
      <c r="U269" s="542">
        <v>204</v>
      </c>
      <c r="V269" s="831"/>
      <c r="W269" s="830"/>
      <c r="AL269" s="15"/>
    </row>
    <row r="270" spans="2:38">
      <c r="B270" s="542">
        <v>205</v>
      </c>
      <c r="C270" s="831"/>
      <c r="D270" s="830"/>
      <c r="S270" s="15"/>
      <c r="U270" s="542">
        <v>205</v>
      </c>
      <c r="V270" s="831"/>
      <c r="W270" s="830"/>
      <c r="AL270" s="15"/>
    </row>
    <row r="271" spans="2:38">
      <c r="B271" s="542">
        <v>206</v>
      </c>
      <c r="C271" s="831"/>
      <c r="D271" s="830"/>
      <c r="S271" s="15"/>
      <c r="U271" s="542">
        <v>206</v>
      </c>
      <c r="V271" s="831"/>
      <c r="W271" s="830"/>
      <c r="AL271" s="15"/>
    </row>
    <row r="272" spans="2:38">
      <c r="B272" s="542">
        <v>207</v>
      </c>
      <c r="C272" s="831"/>
      <c r="D272" s="830"/>
      <c r="S272" s="15"/>
      <c r="U272" s="542">
        <v>207</v>
      </c>
      <c r="V272" s="831"/>
      <c r="W272" s="830"/>
      <c r="AL272" s="15"/>
    </row>
    <row r="273" spans="2:38">
      <c r="B273" s="542">
        <v>208</v>
      </c>
      <c r="C273" s="831"/>
      <c r="D273" s="830"/>
      <c r="S273" s="15"/>
      <c r="U273" s="542">
        <v>208</v>
      </c>
      <c r="V273" s="831"/>
      <c r="W273" s="830"/>
      <c r="AL273" s="15"/>
    </row>
    <row r="274" spans="2:38">
      <c r="B274" s="542">
        <v>209</v>
      </c>
      <c r="C274" s="831"/>
      <c r="D274" s="830"/>
      <c r="S274" s="15"/>
      <c r="U274" s="542">
        <v>209</v>
      </c>
      <c r="V274" s="831"/>
      <c r="W274" s="830"/>
      <c r="AL274" s="15"/>
    </row>
    <row r="275" spans="2:38">
      <c r="B275" s="542">
        <v>210</v>
      </c>
      <c r="C275" s="831"/>
      <c r="D275" s="830"/>
      <c r="S275" s="15"/>
      <c r="U275" s="542">
        <v>210</v>
      </c>
      <c r="V275" s="831"/>
      <c r="W275" s="830"/>
      <c r="AL275" s="15"/>
    </row>
    <row r="276" spans="2:38">
      <c r="B276" s="542">
        <v>211</v>
      </c>
      <c r="C276" s="831"/>
      <c r="D276" s="830"/>
      <c r="S276" s="15"/>
      <c r="U276" s="542">
        <v>211</v>
      </c>
      <c r="V276" s="831"/>
      <c r="W276" s="830"/>
      <c r="AL276" s="15"/>
    </row>
    <row r="277" spans="2:38">
      <c r="B277" s="542">
        <v>212</v>
      </c>
      <c r="C277" s="831"/>
      <c r="D277" s="830"/>
      <c r="S277" s="15"/>
      <c r="U277" s="542">
        <v>212</v>
      </c>
      <c r="V277" s="831"/>
      <c r="W277" s="830"/>
      <c r="AL277" s="15"/>
    </row>
    <row r="278" spans="2:38">
      <c r="B278" s="542">
        <v>213</v>
      </c>
      <c r="C278" s="831"/>
      <c r="D278" s="830"/>
      <c r="S278" s="15"/>
      <c r="U278" s="542">
        <v>213</v>
      </c>
      <c r="V278" s="831"/>
      <c r="W278" s="830"/>
      <c r="AL278" s="15"/>
    </row>
    <row r="279" spans="2:38">
      <c r="B279" s="542">
        <v>214</v>
      </c>
      <c r="C279" s="831"/>
      <c r="D279" s="830"/>
      <c r="S279" s="15"/>
      <c r="U279" s="542">
        <v>214</v>
      </c>
      <c r="V279" s="831"/>
      <c r="W279" s="830"/>
      <c r="AL279" s="15"/>
    </row>
    <row r="280" spans="2:38">
      <c r="B280" s="542">
        <v>215</v>
      </c>
      <c r="C280" s="831"/>
      <c r="D280" s="830"/>
      <c r="S280" s="15"/>
      <c r="U280" s="542">
        <v>215</v>
      </c>
      <c r="V280" s="831"/>
      <c r="W280" s="830"/>
      <c r="AL280" s="15"/>
    </row>
    <row r="281" spans="2:38">
      <c r="B281" s="542">
        <v>216</v>
      </c>
      <c r="C281" s="831"/>
      <c r="D281" s="830"/>
      <c r="S281" s="15"/>
      <c r="U281" s="542">
        <v>216</v>
      </c>
      <c r="V281" s="831"/>
      <c r="W281" s="830"/>
      <c r="AL281" s="15"/>
    </row>
    <row r="282" spans="2:38">
      <c r="B282" s="542">
        <v>217</v>
      </c>
      <c r="C282" s="831"/>
      <c r="D282" s="830"/>
      <c r="S282" s="15"/>
      <c r="U282" s="542">
        <v>217</v>
      </c>
      <c r="V282" s="831"/>
      <c r="W282" s="830"/>
      <c r="AL282" s="15"/>
    </row>
    <row r="283" spans="2:38">
      <c r="B283" s="542">
        <v>218</v>
      </c>
      <c r="C283" s="831"/>
      <c r="D283" s="830"/>
      <c r="S283" s="15"/>
      <c r="U283" s="542">
        <v>218</v>
      </c>
      <c r="V283" s="831"/>
      <c r="W283" s="830"/>
      <c r="AL283" s="15"/>
    </row>
    <row r="284" spans="2:38">
      <c r="B284" s="542">
        <v>219</v>
      </c>
      <c r="C284" s="831"/>
      <c r="D284" s="830"/>
      <c r="S284" s="15"/>
      <c r="U284" s="542">
        <v>219</v>
      </c>
      <c r="V284" s="831"/>
      <c r="W284" s="830"/>
      <c r="AL284" s="15"/>
    </row>
    <row r="285" spans="2:38">
      <c r="B285" s="542">
        <v>220</v>
      </c>
      <c r="C285" s="831"/>
      <c r="D285" s="830"/>
      <c r="S285" s="15"/>
      <c r="U285" s="542">
        <v>220</v>
      </c>
      <c r="V285" s="831"/>
      <c r="W285" s="830"/>
      <c r="AL285" s="15"/>
    </row>
    <row r="286" spans="2:38">
      <c r="B286" s="542">
        <v>221</v>
      </c>
      <c r="C286" s="831"/>
      <c r="D286" s="830"/>
      <c r="S286" s="15"/>
      <c r="U286" s="542">
        <v>221</v>
      </c>
      <c r="V286" s="831"/>
      <c r="W286" s="830"/>
      <c r="AL286" s="15"/>
    </row>
    <row r="287" spans="2:38">
      <c r="B287" s="542">
        <v>222</v>
      </c>
      <c r="C287" s="831"/>
      <c r="D287" s="830"/>
      <c r="S287" s="15"/>
      <c r="U287" s="542">
        <v>222</v>
      </c>
      <c r="V287" s="831"/>
      <c r="W287" s="830"/>
      <c r="AL287" s="15"/>
    </row>
    <row r="288" spans="2:38">
      <c r="B288" s="542">
        <v>223</v>
      </c>
      <c r="C288" s="831"/>
      <c r="D288" s="830"/>
      <c r="S288" s="15"/>
      <c r="U288" s="542">
        <v>223</v>
      </c>
      <c r="V288" s="831"/>
      <c r="W288" s="830"/>
      <c r="AL288" s="15"/>
    </row>
    <row r="289" spans="2:38">
      <c r="B289" s="542">
        <v>224</v>
      </c>
      <c r="C289" s="831"/>
      <c r="D289" s="830"/>
      <c r="S289" s="15"/>
      <c r="U289" s="542">
        <v>224</v>
      </c>
      <c r="V289" s="831"/>
      <c r="W289" s="830"/>
      <c r="AL289" s="15"/>
    </row>
    <row r="290" spans="2:38">
      <c r="B290" s="542">
        <v>225</v>
      </c>
      <c r="C290" s="831"/>
      <c r="D290" s="830"/>
      <c r="S290" s="15"/>
      <c r="U290" s="542">
        <v>225</v>
      </c>
      <c r="V290" s="831"/>
      <c r="W290" s="830"/>
      <c r="AL290" s="15"/>
    </row>
    <row r="291" spans="2:38">
      <c r="B291" s="542">
        <v>226</v>
      </c>
      <c r="C291" s="831"/>
      <c r="D291" s="830"/>
      <c r="S291" s="15"/>
      <c r="U291" s="542">
        <v>226</v>
      </c>
      <c r="V291" s="831"/>
      <c r="W291" s="830"/>
      <c r="AL291" s="15"/>
    </row>
    <row r="292" spans="2:38">
      <c r="B292" s="542">
        <v>227</v>
      </c>
      <c r="C292" s="831"/>
      <c r="D292" s="830"/>
      <c r="S292" s="15"/>
      <c r="U292" s="542">
        <v>227</v>
      </c>
      <c r="V292" s="831"/>
      <c r="W292" s="830"/>
      <c r="AL292" s="15"/>
    </row>
    <row r="293" spans="2:38">
      <c r="B293" s="542">
        <v>228</v>
      </c>
      <c r="C293" s="831"/>
      <c r="D293" s="830"/>
      <c r="S293" s="15"/>
      <c r="U293" s="542">
        <v>228</v>
      </c>
      <c r="V293" s="831"/>
      <c r="W293" s="830"/>
      <c r="AL293" s="15"/>
    </row>
    <row r="294" spans="2:38">
      <c r="B294" s="542">
        <v>229</v>
      </c>
      <c r="C294" s="831"/>
      <c r="D294" s="830"/>
      <c r="S294" s="15"/>
      <c r="U294" s="542">
        <v>229</v>
      </c>
      <c r="V294" s="831"/>
      <c r="W294" s="830"/>
      <c r="AL294" s="15"/>
    </row>
    <row r="295" spans="2:38">
      <c r="B295" s="542">
        <v>230</v>
      </c>
      <c r="C295" s="831"/>
      <c r="D295" s="830"/>
      <c r="S295" s="15"/>
      <c r="U295" s="542">
        <v>230</v>
      </c>
      <c r="V295" s="831"/>
      <c r="W295" s="830"/>
      <c r="AL295" s="15"/>
    </row>
    <row r="296" spans="2:38">
      <c r="B296" s="542">
        <v>231</v>
      </c>
      <c r="C296" s="831"/>
      <c r="D296" s="830"/>
      <c r="S296" s="15"/>
      <c r="U296" s="542">
        <v>231</v>
      </c>
      <c r="V296" s="831"/>
      <c r="W296" s="830"/>
      <c r="AL296" s="15"/>
    </row>
    <row r="297" spans="2:38">
      <c r="B297" s="542">
        <v>232</v>
      </c>
      <c r="C297" s="831"/>
      <c r="D297" s="830"/>
      <c r="S297" s="15"/>
      <c r="U297" s="542">
        <v>232</v>
      </c>
      <c r="V297" s="831"/>
      <c r="W297" s="830"/>
      <c r="AL297" s="15"/>
    </row>
    <row r="298" spans="2:38">
      <c r="B298" s="542">
        <v>233</v>
      </c>
      <c r="C298" s="831"/>
      <c r="D298" s="830"/>
      <c r="S298" s="15"/>
      <c r="U298" s="542">
        <v>233</v>
      </c>
      <c r="V298" s="831"/>
      <c r="W298" s="830"/>
      <c r="AL298" s="15"/>
    </row>
    <row r="299" spans="2:38">
      <c r="B299" s="542">
        <v>234</v>
      </c>
      <c r="C299" s="831"/>
      <c r="D299" s="830"/>
      <c r="S299" s="15"/>
      <c r="U299" s="542">
        <v>234</v>
      </c>
      <c r="V299" s="831"/>
      <c r="W299" s="830"/>
      <c r="AL299" s="15"/>
    </row>
    <row r="300" spans="2:38">
      <c r="B300" s="542">
        <v>235</v>
      </c>
      <c r="C300" s="831"/>
      <c r="D300" s="830"/>
      <c r="S300" s="15"/>
      <c r="U300" s="542">
        <v>235</v>
      </c>
      <c r="V300" s="831"/>
      <c r="W300" s="830"/>
      <c r="AL300" s="15"/>
    </row>
    <row r="301" spans="2:38">
      <c r="B301" s="542">
        <v>236</v>
      </c>
      <c r="C301" s="831"/>
      <c r="D301" s="830"/>
      <c r="S301" s="15"/>
      <c r="U301" s="542">
        <v>236</v>
      </c>
      <c r="V301" s="831"/>
      <c r="W301" s="830"/>
      <c r="AL301" s="15"/>
    </row>
    <row r="302" spans="2:38">
      <c r="B302" s="542">
        <v>237</v>
      </c>
      <c r="C302" s="831"/>
      <c r="D302" s="830"/>
      <c r="S302" s="15"/>
      <c r="U302" s="542">
        <v>237</v>
      </c>
      <c r="V302" s="831"/>
      <c r="W302" s="830"/>
      <c r="AL302" s="15"/>
    </row>
    <row r="303" spans="2:38">
      <c r="B303" s="542">
        <v>238</v>
      </c>
      <c r="C303" s="831"/>
      <c r="D303" s="830"/>
      <c r="S303" s="15"/>
      <c r="U303" s="542">
        <v>238</v>
      </c>
      <c r="V303" s="831"/>
      <c r="W303" s="830"/>
      <c r="AL303" s="15"/>
    </row>
    <row r="304" spans="2:38">
      <c r="B304" s="542">
        <v>239</v>
      </c>
      <c r="C304" s="831"/>
      <c r="D304" s="830"/>
      <c r="S304" s="15"/>
      <c r="U304" s="542">
        <v>239</v>
      </c>
      <c r="V304" s="831"/>
      <c r="W304" s="830"/>
      <c r="AL304" s="15"/>
    </row>
    <row r="305" spans="2:38">
      <c r="B305" s="542">
        <v>240</v>
      </c>
      <c r="C305" s="831"/>
      <c r="D305" s="830"/>
      <c r="S305" s="15"/>
      <c r="U305" s="542">
        <v>240</v>
      </c>
      <c r="V305" s="831"/>
      <c r="W305" s="830"/>
      <c r="AL305" s="15"/>
    </row>
    <row r="306" spans="2:38">
      <c r="B306" s="542">
        <v>241</v>
      </c>
      <c r="C306" s="831"/>
      <c r="D306" s="830"/>
      <c r="S306" s="15"/>
      <c r="U306" s="542">
        <v>241</v>
      </c>
      <c r="V306" s="831"/>
      <c r="W306" s="830"/>
      <c r="AL306" s="15"/>
    </row>
    <row r="307" spans="2:38">
      <c r="B307" s="542">
        <v>242</v>
      </c>
      <c r="C307" s="831"/>
      <c r="D307" s="830"/>
      <c r="S307" s="15"/>
      <c r="U307" s="542">
        <v>242</v>
      </c>
      <c r="V307" s="831"/>
      <c r="W307" s="830"/>
      <c r="AL307" s="15"/>
    </row>
    <row r="308" spans="2:38">
      <c r="B308" s="542">
        <v>243</v>
      </c>
      <c r="C308" s="831"/>
      <c r="D308" s="830"/>
      <c r="S308" s="15"/>
      <c r="U308" s="542">
        <v>243</v>
      </c>
      <c r="V308" s="831"/>
      <c r="W308" s="830"/>
      <c r="AL308" s="15"/>
    </row>
    <row r="309" spans="2:38">
      <c r="B309" s="542">
        <v>244</v>
      </c>
      <c r="C309" s="831"/>
      <c r="D309" s="830"/>
      <c r="S309" s="15"/>
      <c r="U309" s="542">
        <v>244</v>
      </c>
      <c r="V309" s="831"/>
      <c r="W309" s="830"/>
      <c r="AL309" s="15"/>
    </row>
    <row r="310" spans="2:38">
      <c r="B310" s="542">
        <v>245</v>
      </c>
      <c r="C310" s="831"/>
      <c r="D310" s="830"/>
      <c r="S310" s="15"/>
      <c r="U310" s="542">
        <v>245</v>
      </c>
      <c r="V310" s="831"/>
      <c r="W310" s="830"/>
      <c r="AL310" s="15"/>
    </row>
    <row r="311" spans="2:38">
      <c r="B311" s="542">
        <v>246</v>
      </c>
      <c r="C311" s="831"/>
      <c r="D311" s="830"/>
      <c r="S311" s="15"/>
      <c r="U311" s="542">
        <v>246</v>
      </c>
      <c r="V311" s="831"/>
      <c r="W311" s="830"/>
      <c r="AL311" s="15"/>
    </row>
    <row r="312" spans="2:38">
      <c r="B312" s="542">
        <v>247</v>
      </c>
      <c r="C312" s="831"/>
      <c r="D312" s="830"/>
      <c r="S312" s="15"/>
      <c r="U312" s="542">
        <v>247</v>
      </c>
      <c r="V312" s="831"/>
      <c r="W312" s="830"/>
      <c r="AL312" s="15"/>
    </row>
    <row r="313" spans="2:38">
      <c r="B313" s="542">
        <v>248</v>
      </c>
      <c r="C313" s="831"/>
      <c r="D313" s="830"/>
      <c r="S313" s="15"/>
      <c r="U313" s="542">
        <v>248</v>
      </c>
      <c r="V313" s="831"/>
      <c r="W313" s="830"/>
      <c r="AL313" s="15"/>
    </row>
    <row r="314" spans="2:38">
      <c r="B314" s="542">
        <v>249</v>
      </c>
      <c r="C314" s="831"/>
      <c r="D314" s="830"/>
      <c r="S314" s="15"/>
      <c r="U314" s="542">
        <v>249</v>
      </c>
      <c r="V314" s="831"/>
      <c r="W314" s="830"/>
      <c r="AL314" s="15"/>
    </row>
    <row r="315" spans="2:38">
      <c r="B315" s="542">
        <v>250</v>
      </c>
      <c r="C315" s="831"/>
      <c r="D315" s="830"/>
      <c r="S315" s="15"/>
      <c r="U315" s="542">
        <v>250</v>
      </c>
      <c r="V315" s="831"/>
      <c r="W315" s="830"/>
      <c r="AL315" s="15"/>
    </row>
    <row r="316" spans="2:38">
      <c r="B316" s="542">
        <v>251</v>
      </c>
      <c r="C316" s="831"/>
      <c r="D316" s="830"/>
      <c r="S316" s="15"/>
      <c r="U316" s="542">
        <v>251</v>
      </c>
      <c r="V316" s="831"/>
      <c r="W316" s="830"/>
      <c r="AL316" s="15"/>
    </row>
    <row r="317" spans="2:38">
      <c r="B317" s="542">
        <v>252</v>
      </c>
      <c r="C317" s="831"/>
      <c r="D317" s="830"/>
      <c r="S317" s="15"/>
      <c r="U317" s="542">
        <v>252</v>
      </c>
      <c r="V317" s="831"/>
      <c r="W317" s="830"/>
      <c r="AL317" s="15"/>
    </row>
    <row r="318" spans="2:38">
      <c r="B318" s="542">
        <v>253</v>
      </c>
      <c r="C318" s="831"/>
      <c r="D318" s="830"/>
      <c r="S318" s="15"/>
      <c r="U318" s="542">
        <v>253</v>
      </c>
      <c r="V318" s="831"/>
      <c r="W318" s="830"/>
      <c r="AL318" s="15"/>
    </row>
    <row r="319" spans="2:38">
      <c r="B319" s="542">
        <v>254</v>
      </c>
      <c r="C319" s="831"/>
      <c r="D319" s="830"/>
      <c r="S319" s="15"/>
      <c r="U319" s="542">
        <v>254</v>
      </c>
      <c r="V319" s="831"/>
      <c r="W319" s="830"/>
      <c r="AL319" s="15"/>
    </row>
    <row r="320" spans="2:38">
      <c r="B320" s="542">
        <v>255</v>
      </c>
      <c r="C320" s="831"/>
      <c r="D320" s="830"/>
      <c r="S320" s="15"/>
      <c r="U320" s="542">
        <v>255</v>
      </c>
      <c r="V320" s="831"/>
      <c r="W320" s="830"/>
      <c r="AL320" s="15"/>
    </row>
    <row r="321" spans="2:38">
      <c r="B321" s="542">
        <v>256</v>
      </c>
      <c r="C321" s="831"/>
      <c r="D321" s="830"/>
      <c r="S321" s="15"/>
      <c r="U321" s="542">
        <v>256</v>
      </c>
      <c r="V321" s="831"/>
      <c r="W321" s="830"/>
      <c r="AL321" s="15"/>
    </row>
    <row r="322" spans="2:38">
      <c r="B322" s="542">
        <v>257</v>
      </c>
      <c r="C322" s="831"/>
      <c r="D322" s="830"/>
      <c r="S322" s="15"/>
      <c r="U322" s="542">
        <v>257</v>
      </c>
      <c r="V322" s="831"/>
      <c r="W322" s="830"/>
      <c r="AL322" s="15"/>
    </row>
    <row r="323" spans="2:38">
      <c r="B323" s="542">
        <v>258</v>
      </c>
      <c r="C323" s="831"/>
      <c r="D323" s="830"/>
      <c r="S323" s="15"/>
      <c r="U323" s="542">
        <v>258</v>
      </c>
      <c r="V323" s="831"/>
      <c r="W323" s="830"/>
      <c r="AL323" s="15"/>
    </row>
    <row r="324" spans="2:38">
      <c r="B324" s="542">
        <v>259</v>
      </c>
      <c r="C324" s="831"/>
      <c r="D324" s="830"/>
      <c r="S324" s="15"/>
      <c r="U324" s="542">
        <v>259</v>
      </c>
      <c r="V324" s="831"/>
      <c r="W324" s="830"/>
      <c r="AL324" s="15"/>
    </row>
    <row r="325" spans="2:38">
      <c r="B325" s="542">
        <v>260</v>
      </c>
      <c r="C325" s="831"/>
      <c r="D325" s="830"/>
      <c r="S325" s="15"/>
      <c r="U325" s="542">
        <v>260</v>
      </c>
      <c r="V325" s="831"/>
      <c r="W325" s="830"/>
      <c r="AL325" s="15"/>
    </row>
    <row r="326" spans="2:38">
      <c r="B326" s="542">
        <v>261</v>
      </c>
      <c r="C326" s="831"/>
      <c r="D326" s="830"/>
      <c r="S326" s="15"/>
      <c r="U326" s="542">
        <v>261</v>
      </c>
      <c r="V326" s="831"/>
      <c r="W326" s="830"/>
      <c r="AL326" s="15"/>
    </row>
    <row r="327" spans="2:38">
      <c r="B327" s="542">
        <v>262</v>
      </c>
      <c r="C327" s="831"/>
      <c r="D327" s="830"/>
      <c r="S327" s="15"/>
      <c r="U327" s="542">
        <v>262</v>
      </c>
      <c r="V327" s="831"/>
      <c r="W327" s="830"/>
      <c r="AL327" s="15"/>
    </row>
    <row r="328" spans="2:38">
      <c r="B328" s="542">
        <v>263</v>
      </c>
      <c r="C328" s="831"/>
      <c r="D328" s="830"/>
      <c r="S328" s="15"/>
      <c r="U328" s="542">
        <v>263</v>
      </c>
      <c r="V328" s="831"/>
      <c r="W328" s="830"/>
      <c r="AL328" s="15"/>
    </row>
    <row r="329" spans="2:38">
      <c r="B329" s="542">
        <v>264</v>
      </c>
      <c r="C329" s="831"/>
      <c r="D329" s="830"/>
      <c r="S329" s="15"/>
      <c r="U329" s="542">
        <v>264</v>
      </c>
      <c r="V329" s="831"/>
      <c r="W329" s="830"/>
      <c r="AL329" s="15"/>
    </row>
    <row r="330" spans="2:38">
      <c r="B330" s="542">
        <v>265</v>
      </c>
      <c r="C330" s="831"/>
      <c r="D330" s="830"/>
      <c r="S330" s="15"/>
      <c r="U330" s="542">
        <v>265</v>
      </c>
      <c r="V330" s="831"/>
      <c r="W330" s="830"/>
      <c r="AL330" s="15"/>
    </row>
    <row r="331" spans="2:38">
      <c r="B331" s="542">
        <v>266</v>
      </c>
      <c r="C331" s="831"/>
      <c r="D331" s="830"/>
      <c r="S331" s="15"/>
      <c r="U331" s="542">
        <v>266</v>
      </c>
      <c r="V331" s="831"/>
      <c r="W331" s="830"/>
      <c r="AL331" s="15"/>
    </row>
    <row r="332" spans="2:38">
      <c r="B332" s="542">
        <v>267</v>
      </c>
      <c r="C332" s="831"/>
      <c r="D332" s="830"/>
      <c r="S332" s="15"/>
      <c r="U332" s="542">
        <v>267</v>
      </c>
      <c r="V332" s="831"/>
      <c r="W332" s="830"/>
      <c r="AL332" s="15"/>
    </row>
    <row r="333" spans="2:38">
      <c r="B333" s="542">
        <v>268</v>
      </c>
      <c r="C333" s="831"/>
      <c r="D333" s="830"/>
      <c r="S333" s="15"/>
      <c r="U333" s="542">
        <v>268</v>
      </c>
      <c r="V333" s="831"/>
      <c r="W333" s="830"/>
      <c r="AL333" s="15"/>
    </row>
    <row r="334" spans="2:38">
      <c r="B334" s="542">
        <v>269</v>
      </c>
      <c r="C334" s="831"/>
      <c r="D334" s="830"/>
      <c r="S334" s="15"/>
      <c r="U334" s="542">
        <v>269</v>
      </c>
      <c r="V334" s="831"/>
      <c r="W334" s="830"/>
      <c r="AL334" s="15"/>
    </row>
    <row r="335" spans="2:38">
      <c r="B335" s="542">
        <v>270</v>
      </c>
      <c r="C335" s="831"/>
      <c r="D335" s="830"/>
      <c r="S335" s="15"/>
      <c r="U335" s="542">
        <v>270</v>
      </c>
      <c r="V335" s="831"/>
      <c r="W335" s="830"/>
      <c r="AL335" s="15"/>
    </row>
    <row r="336" spans="2:38">
      <c r="B336" s="542">
        <v>271</v>
      </c>
      <c r="C336" s="831"/>
      <c r="D336" s="830"/>
      <c r="S336" s="15"/>
      <c r="U336" s="542">
        <v>271</v>
      </c>
      <c r="V336" s="831"/>
      <c r="W336" s="830"/>
      <c r="AL336" s="15"/>
    </row>
    <row r="337" spans="2:38">
      <c r="B337" s="542">
        <v>272</v>
      </c>
      <c r="C337" s="831"/>
      <c r="D337" s="830"/>
      <c r="S337" s="15"/>
      <c r="U337" s="542">
        <v>272</v>
      </c>
      <c r="V337" s="831"/>
      <c r="W337" s="830"/>
      <c r="AL337" s="15"/>
    </row>
    <row r="338" spans="2:38">
      <c r="B338" s="542">
        <v>273</v>
      </c>
      <c r="C338" s="831"/>
      <c r="D338" s="830"/>
      <c r="S338" s="15"/>
      <c r="U338" s="542">
        <v>273</v>
      </c>
      <c r="V338" s="831"/>
      <c r="W338" s="830"/>
      <c r="AL338" s="15"/>
    </row>
    <row r="339" spans="2:38">
      <c r="B339" s="542">
        <v>274</v>
      </c>
      <c r="C339" s="831"/>
      <c r="D339" s="830"/>
      <c r="S339" s="15"/>
      <c r="U339" s="542">
        <v>274</v>
      </c>
      <c r="V339" s="831"/>
      <c r="W339" s="830"/>
      <c r="AL339" s="15"/>
    </row>
    <row r="340" spans="2:38">
      <c r="B340" s="542">
        <v>275</v>
      </c>
      <c r="C340" s="831"/>
      <c r="D340" s="830"/>
      <c r="S340" s="15"/>
      <c r="U340" s="542">
        <v>275</v>
      </c>
      <c r="V340" s="831"/>
      <c r="W340" s="830"/>
      <c r="AL340" s="15"/>
    </row>
    <row r="341" spans="2:38">
      <c r="B341" s="542">
        <v>276</v>
      </c>
      <c r="C341" s="831"/>
      <c r="D341" s="830"/>
      <c r="S341" s="15"/>
      <c r="U341" s="542">
        <v>276</v>
      </c>
      <c r="V341" s="831"/>
      <c r="W341" s="830"/>
      <c r="AL341" s="15"/>
    </row>
    <row r="342" spans="2:38">
      <c r="B342" s="542">
        <v>277</v>
      </c>
      <c r="C342" s="831"/>
      <c r="D342" s="830"/>
      <c r="S342" s="15"/>
      <c r="U342" s="542">
        <v>277</v>
      </c>
      <c r="V342" s="831"/>
      <c r="W342" s="830"/>
      <c r="AL342" s="15"/>
    </row>
    <row r="343" spans="2:38">
      <c r="B343" s="542">
        <v>278</v>
      </c>
      <c r="C343" s="831"/>
      <c r="D343" s="830"/>
      <c r="S343" s="15"/>
      <c r="U343" s="542">
        <v>278</v>
      </c>
      <c r="V343" s="831"/>
      <c r="W343" s="830"/>
      <c r="AL343" s="15"/>
    </row>
    <row r="344" spans="2:38">
      <c r="B344" s="542">
        <v>279</v>
      </c>
      <c r="C344" s="831"/>
      <c r="D344" s="830"/>
      <c r="S344" s="15"/>
      <c r="U344" s="542">
        <v>279</v>
      </c>
      <c r="V344" s="831"/>
      <c r="W344" s="830"/>
      <c r="AL344" s="15"/>
    </row>
    <row r="345" spans="2:38">
      <c r="B345" s="542">
        <v>280</v>
      </c>
      <c r="C345" s="831"/>
      <c r="D345" s="830"/>
      <c r="S345" s="15"/>
      <c r="U345" s="542">
        <v>280</v>
      </c>
      <c r="V345" s="831"/>
      <c r="W345" s="830"/>
      <c r="AL345" s="15"/>
    </row>
    <row r="346" spans="2:38">
      <c r="B346" s="542">
        <v>281</v>
      </c>
      <c r="C346" s="831"/>
      <c r="D346" s="830"/>
      <c r="S346" s="15"/>
      <c r="U346" s="542">
        <v>281</v>
      </c>
      <c r="V346" s="831"/>
      <c r="W346" s="830"/>
      <c r="AL346" s="15"/>
    </row>
    <row r="347" spans="2:38">
      <c r="B347" s="542">
        <v>282</v>
      </c>
      <c r="C347" s="831"/>
      <c r="D347" s="830"/>
      <c r="S347" s="15"/>
      <c r="U347" s="542">
        <v>282</v>
      </c>
      <c r="V347" s="831"/>
      <c r="W347" s="830"/>
      <c r="AL347" s="15"/>
    </row>
    <row r="348" spans="2:38">
      <c r="B348" s="542">
        <v>283</v>
      </c>
      <c r="C348" s="831"/>
      <c r="D348" s="830"/>
      <c r="S348" s="15"/>
      <c r="U348" s="542">
        <v>283</v>
      </c>
      <c r="V348" s="831"/>
      <c r="W348" s="830"/>
      <c r="AL348" s="15"/>
    </row>
    <row r="349" spans="2:38">
      <c r="B349" s="542">
        <v>284</v>
      </c>
      <c r="C349" s="831"/>
      <c r="D349" s="830"/>
      <c r="S349" s="15"/>
      <c r="U349" s="542">
        <v>284</v>
      </c>
      <c r="V349" s="831"/>
      <c r="W349" s="830"/>
      <c r="AL349" s="15"/>
    </row>
    <row r="350" spans="2:38">
      <c r="B350" s="542">
        <v>285</v>
      </c>
      <c r="C350" s="831"/>
      <c r="D350" s="830"/>
      <c r="S350" s="15"/>
      <c r="U350" s="542">
        <v>285</v>
      </c>
      <c r="V350" s="831"/>
      <c r="W350" s="830"/>
      <c r="AL350" s="15"/>
    </row>
    <row r="351" spans="2:38">
      <c r="B351" s="542">
        <v>286</v>
      </c>
      <c r="C351" s="831"/>
      <c r="D351" s="830"/>
      <c r="S351" s="15"/>
      <c r="U351" s="542">
        <v>286</v>
      </c>
      <c r="V351" s="831"/>
      <c r="W351" s="830"/>
      <c r="AL351" s="15"/>
    </row>
    <row r="352" spans="2:38">
      <c r="B352" s="542">
        <v>287</v>
      </c>
      <c r="C352" s="831"/>
      <c r="D352" s="830"/>
      <c r="S352" s="15"/>
      <c r="U352" s="542">
        <v>287</v>
      </c>
      <c r="V352" s="831"/>
      <c r="W352" s="830"/>
      <c r="AL352" s="15"/>
    </row>
    <row r="353" spans="1:38">
      <c r="B353" s="542">
        <v>288</v>
      </c>
      <c r="C353" s="831"/>
      <c r="D353" s="830"/>
      <c r="S353" s="15"/>
      <c r="U353" s="542">
        <v>288</v>
      </c>
      <c r="V353" s="831"/>
      <c r="W353" s="830"/>
      <c r="AL353" s="15"/>
    </row>
    <row r="354" spans="1:38">
      <c r="B354" s="542">
        <v>289</v>
      </c>
      <c r="C354" s="831"/>
      <c r="D354" s="830"/>
      <c r="S354" s="15"/>
      <c r="U354" s="542">
        <v>289</v>
      </c>
      <c r="V354" s="831"/>
      <c r="W354" s="830"/>
      <c r="AL354" s="15"/>
    </row>
    <row r="355" spans="1:38">
      <c r="B355" s="542">
        <v>290</v>
      </c>
      <c r="C355" s="831"/>
      <c r="D355" s="830"/>
      <c r="S355" s="15"/>
      <c r="U355" s="542">
        <v>290</v>
      </c>
      <c r="V355" s="831"/>
      <c r="W355" s="830"/>
      <c r="AL355" s="15"/>
    </row>
    <row r="356" spans="1:38">
      <c r="B356" s="542">
        <v>291</v>
      </c>
      <c r="C356" s="831"/>
      <c r="D356" s="830"/>
      <c r="S356" s="15"/>
      <c r="U356" s="542">
        <v>291</v>
      </c>
      <c r="V356" s="831"/>
      <c r="W356" s="830"/>
      <c r="AL356" s="15"/>
    </row>
    <row r="357" spans="1:38">
      <c r="B357" s="542">
        <v>292</v>
      </c>
      <c r="C357" s="831"/>
      <c r="D357" s="830"/>
      <c r="S357" s="15"/>
      <c r="U357" s="542">
        <v>292</v>
      </c>
      <c r="V357" s="831"/>
      <c r="W357" s="830"/>
      <c r="AL357" s="15"/>
    </row>
    <row r="358" spans="1:38">
      <c r="B358" s="542">
        <v>293</v>
      </c>
      <c r="C358" s="831"/>
      <c r="D358" s="830"/>
      <c r="S358" s="15"/>
      <c r="U358" s="542">
        <v>293</v>
      </c>
      <c r="V358" s="831"/>
      <c r="W358" s="830"/>
      <c r="AL358" s="15"/>
    </row>
    <row r="359" spans="1:38">
      <c r="B359" s="542">
        <v>294</v>
      </c>
      <c r="C359" s="831"/>
      <c r="D359" s="830"/>
      <c r="S359" s="15"/>
      <c r="U359" s="542">
        <v>294</v>
      </c>
      <c r="V359" s="831"/>
      <c r="W359" s="830"/>
      <c r="AL359" s="15"/>
    </row>
    <row r="360" spans="1:38">
      <c r="B360" s="542">
        <v>295</v>
      </c>
      <c r="C360" s="831"/>
      <c r="D360" s="830"/>
      <c r="S360" s="15"/>
      <c r="U360" s="542">
        <v>295</v>
      </c>
      <c r="V360" s="831"/>
      <c r="W360" s="830"/>
      <c r="AL360" s="15"/>
    </row>
    <row r="361" spans="1:38">
      <c r="B361" s="542">
        <v>296</v>
      </c>
      <c r="C361" s="831"/>
      <c r="D361" s="830"/>
      <c r="S361" s="15"/>
      <c r="U361" s="542">
        <v>296</v>
      </c>
      <c r="V361" s="831"/>
      <c r="W361" s="830"/>
      <c r="AL361" s="15"/>
    </row>
    <row r="362" spans="1:38">
      <c r="B362" s="542">
        <v>297</v>
      </c>
      <c r="C362" s="831"/>
      <c r="D362" s="830"/>
      <c r="S362" s="15"/>
      <c r="U362" s="542">
        <v>297</v>
      </c>
      <c r="V362" s="831"/>
      <c r="W362" s="830"/>
      <c r="AL362" s="15"/>
    </row>
    <row r="363" spans="1:38">
      <c r="B363" s="542">
        <v>298</v>
      </c>
      <c r="C363" s="831"/>
      <c r="D363" s="830"/>
      <c r="S363" s="15"/>
      <c r="U363" s="542">
        <v>298</v>
      </c>
      <c r="V363" s="831"/>
      <c r="W363" s="830"/>
      <c r="AL363" s="15"/>
    </row>
    <row r="364" spans="1:38">
      <c r="B364" s="542">
        <v>299</v>
      </c>
      <c r="C364" s="831"/>
      <c r="D364" s="830"/>
      <c r="S364" s="15"/>
      <c r="U364" s="542">
        <v>299</v>
      </c>
      <c r="V364" s="831"/>
      <c r="W364" s="830"/>
      <c r="AL364" s="15"/>
    </row>
    <row r="365" spans="1:38">
      <c r="B365" s="542">
        <v>300</v>
      </c>
      <c r="C365" s="831"/>
      <c r="D365" s="830"/>
      <c r="S365" s="15"/>
      <c r="U365" s="542">
        <v>300</v>
      </c>
      <c r="V365" s="831"/>
      <c r="W365" s="83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hS60757wqigzBk2EyZMVfMFIWMz4cksiur+AQFNsvrvKA0uaRwp2/od/YOUr8mns8gDXg/wlux8fs1bDSw/4zA==" saltValue="Z/FFa5BnK9z3qG8jRriYvA==" spinCount="100000" sheet="1" scenarios="1" insertHyperlinks="0"/>
  <protectedRanges>
    <protectedRange sqref="A5:AL18 A21:AL42 C46:D47 G46:H47 C50 C53:D55 V46:W47 Z46:AA47 V51:W53" name="Range1"/>
    <protectedRange sqref="E66:E365" name="Range1_1"/>
    <protectedRange sqref="X66:X365" name="Range1_2"/>
    <protectedRange sqref="C66:D365" name="Range1_3"/>
    <protectedRange sqref="V66:W365" name="Range1_4"/>
    <protectedRange sqref="C56:D57" name="Range1_5"/>
  </protectedRanges>
  <mergeCells count="52">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 ref="A1:S1"/>
    <mergeCell ref="T1:AL1"/>
    <mergeCell ref="D3:J3"/>
    <mergeCell ref="O3:S3"/>
    <mergeCell ref="W3:AC3"/>
    <mergeCell ref="AH3:AL3"/>
    <mergeCell ref="T47:U47"/>
    <mergeCell ref="T46:U46"/>
    <mergeCell ref="V46:W46"/>
    <mergeCell ref="X46:Y46"/>
    <mergeCell ref="Z46:AA46"/>
    <mergeCell ref="V47:W47"/>
    <mergeCell ref="X47:Y47"/>
    <mergeCell ref="AG50:AH50"/>
    <mergeCell ref="V51:W51"/>
    <mergeCell ref="V52:W52"/>
    <mergeCell ref="C53:D53"/>
    <mergeCell ref="V53:W53"/>
    <mergeCell ref="AG51:AH51"/>
    <mergeCell ref="AG52:AH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s>
  <phoneticPr fontId="32" type="noConversion"/>
  <conditionalFormatting sqref="C56:D56">
    <cfRule type="expression" dxfId="418" priority="1">
      <formula>$C$56&lt;0.4*$C$57</formula>
    </cfRule>
  </conditionalFormatting>
  <conditionalFormatting sqref="C57:D57">
    <cfRule type="expression" dxfId="417" priority="2">
      <formula>$C$57&lt;0.4*$C$56</formula>
    </cfRule>
  </conditionalFormatting>
  <conditionalFormatting sqref="AJ51">
    <cfRule type="cellIs" dxfId="416" priority="4" stopIfTrue="1" operator="greaterThanOrEqual">
      <formula>100</formula>
    </cfRule>
    <cfRule type="cellIs" dxfId="415" priority="5" stopIfTrue="1" operator="lessThan">
      <formula>75</formula>
    </cfRule>
    <cfRule type="cellIs" dxfId="414" priority="6"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zoomScaleNormal="100" zoomScaleSheetLayoutView="100" workbookViewId="0">
      <selection sqref="A1:S1"/>
    </sheetView>
  </sheetViews>
  <sheetFormatPr baseColWidth="10" defaultColWidth="11.46484375" defaultRowHeight="12.75"/>
  <cols>
    <col min="1" max="38" width="5" customWidth="1"/>
  </cols>
  <sheetData>
    <row r="1" spans="1:41" ht="13.15">
      <c r="A1" s="1194" t="s">
        <v>292</v>
      </c>
      <c r="B1" s="1195"/>
      <c r="C1" s="1195"/>
      <c r="D1" s="1195"/>
      <c r="E1" s="1195"/>
      <c r="F1" s="1195"/>
      <c r="G1" s="1195"/>
      <c r="H1" s="1195"/>
      <c r="I1" s="1195"/>
      <c r="J1" s="1195"/>
      <c r="K1" s="1195"/>
      <c r="L1" s="1195"/>
      <c r="M1" s="1195"/>
      <c r="N1" s="1195"/>
      <c r="O1" s="1195"/>
      <c r="P1" s="1195"/>
      <c r="Q1" s="1195"/>
      <c r="R1" s="1195"/>
      <c r="S1" s="1196"/>
      <c r="T1" s="1194" t="s">
        <v>293</v>
      </c>
      <c r="U1" s="1195"/>
      <c r="V1" s="1195"/>
      <c r="W1" s="1195"/>
      <c r="X1" s="1195"/>
      <c r="Y1" s="1195"/>
      <c r="Z1" s="1195"/>
      <c r="AA1" s="1195"/>
      <c r="AB1" s="1195"/>
      <c r="AC1" s="1195"/>
      <c r="AD1" s="1195"/>
      <c r="AE1" s="1195"/>
      <c r="AF1" s="1195"/>
      <c r="AG1" s="1195"/>
      <c r="AH1" s="1195"/>
      <c r="AI1" s="1195"/>
      <c r="AJ1" s="1195"/>
      <c r="AK1" s="1195"/>
      <c r="AL1" s="1196"/>
    </row>
    <row r="2" spans="1:41">
      <c r="A2" s="4"/>
      <c r="S2" s="15"/>
      <c r="T2" s="4"/>
      <c r="AL2" s="15"/>
      <c r="AM2" s="162" t="s">
        <v>219</v>
      </c>
      <c r="AN2" s="162"/>
      <c r="AO2" s="162"/>
    </row>
    <row r="3" spans="1:41">
      <c r="A3" t="s">
        <v>39</v>
      </c>
      <c r="D3" s="1157" t="str">
        <f>IF('Cover Sheet'!$D$14&gt;0,'Cover Sheet'!$D$14,"")</f>
        <v>Ecole Centrale Lyon</v>
      </c>
      <c r="E3" s="1157"/>
      <c r="F3" s="1157"/>
      <c r="G3" s="1157"/>
      <c r="H3" s="1157"/>
      <c r="I3" s="1157"/>
      <c r="J3" s="1157"/>
      <c r="K3" t="s">
        <v>40</v>
      </c>
      <c r="O3" s="1157" t="str">
        <f>IF('Cover Sheet'!$O$14&gt;0,'Cover Sheet'!$O$14,"")</f>
        <v>81 FSCH</v>
      </c>
      <c r="P3" s="1157"/>
      <c r="Q3" s="1157"/>
      <c r="R3" s="1157"/>
      <c r="S3" s="1157"/>
      <c r="T3" t="s">
        <v>39</v>
      </c>
      <c r="W3" s="1157" t="str">
        <f>IF('Cover Sheet'!$D$14&gt;0,'Cover Sheet'!$D$14,"")</f>
        <v>Ecole Centrale Lyon</v>
      </c>
      <c r="X3" s="1157"/>
      <c r="Y3" s="1157"/>
      <c r="Z3" s="1157"/>
      <c r="AA3" s="1157"/>
      <c r="AB3" s="1157"/>
      <c r="AC3" s="1157"/>
      <c r="AD3" t="s">
        <v>40</v>
      </c>
      <c r="AH3" s="1157" t="str">
        <f>IF('Cover Sheet'!$O$14&gt;0,'Cover Sheet'!$O$14,"")</f>
        <v>81 FSCH</v>
      </c>
      <c r="AI3" s="1157"/>
      <c r="AJ3" s="1157"/>
      <c r="AK3" s="1157"/>
      <c r="AL3" s="1157"/>
    </row>
    <row r="4" spans="1:41">
      <c r="A4" s="4"/>
      <c r="S4" s="15"/>
      <c r="T4" s="4"/>
      <c r="AL4" s="15"/>
    </row>
    <row r="5" spans="1:41" ht="12.75" customHeight="1">
      <c r="A5" s="1211"/>
      <c r="B5" s="1212"/>
      <c r="C5" s="1212"/>
      <c r="D5" s="1212"/>
      <c r="E5" s="1212"/>
      <c r="F5" s="1212"/>
      <c r="G5" s="1212"/>
      <c r="H5" s="1212"/>
      <c r="I5" s="1212"/>
      <c r="J5" s="1212"/>
      <c r="K5" s="1212"/>
      <c r="L5" s="1212"/>
      <c r="M5" s="1212"/>
      <c r="N5" s="1212"/>
      <c r="O5" s="1212"/>
      <c r="P5" s="1212"/>
      <c r="Q5" s="1212"/>
      <c r="R5" s="1212"/>
      <c r="S5" s="1213"/>
      <c r="T5" s="1211"/>
      <c r="U5" s="1212"/>
      <c r="V5" s="1212"/>
      <c r="W5" s="1212"/>
      <c r="X5" s="1212"/>
      <c r="Y5" s="1212"/>
      <c r="Z5" s="1212"/>
      <c r="AA5" s="1212"/>
      <c r="AB5" s="1212"/>
      <c r="AC5" s="1212"/>
      <c r="AD5" s="1212"/>
      <c r="AE5" s="1212"/>
      <c r="AF5" s="1212"/>
      <c r="AG5" s="1212"/>
      <c r="AH5" s="1212"/>
      <c r="AI5" s="1212"/>
      <c r="AJ5" s="1212"/>
      <c r="AK5" s="1212"/>
      <c r="AL5" s="1213"/>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89" t="s">
        <v>294</v>
      </c>
      <c r="B19" s="6"/>
      <c r="C19" s="6"/>
      <c r="D19" s="6"/>
      <c r="E19" s="6"/>
      <c r="F19" s="6"/>
      <c r="G19" s="6"/>
      <c r="H19" s="6"/>
      <c r="I19" s="6"/>
      <c r="J19" s="6"/>
      <c r="K19" s="6"/>
      <c r="L19" s="6"/>
      <c r="M19" s="6"/>
      <c r="N19" s="6"/>
      <c r="O19" s="6"/>
      <c r="P19" s="6"/>
      <c r="Q19" s="6"/>
      <c r="R19" s="6"/>
      <c r="S19" s="7"/>
      <c r="T19" s="9" t="s">
        <v>295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89" t="s">
        <v>296</v>
      </c>
      <c r="B43" s="6"/>
      <c r="C43" s="6"/>
      <c r="D43" s="6"/>
      <c r="E43" s="6"/>
      <c r="F43" s="6"/>
      <c r="G43" s="6"/>
      <c r="H43" s="6"/>
      <c r="I43" s="6"/>
      <c r="J43" s="6"/>
      <c r="K43" s="6"/>
      <c r="L43" s="6"/>
      <c r="M43" s="6"/>
      <c r="N43" s="6"/>
      <c r="O43" s="6"/>
      <c r="P43" s="6"/>
      <c r="Q43" s="6"/>
      <c r="R43" s="6"/>
      <c r="S43" s="7"/>
      <c r="T43" s="9" t="s">
        <v>297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row>
    <row r="46" spans="1:38" ht="14.25" customHeight="1">
      <c r="A46" s="1187" t="s">
        <v>235</v>
      </c>
      <c r="B46" s="1186"/>
      <c r="C46" s="1182"/>
      <c r="D46" s="1183"/>
      <c r="E46" s="1186" t="s">
        <v>236</v>
      </c>
      <c r="F46" s="1186"/>
      <c r="G46" s="1182"/>
      <c r="H46" s="1183"/>
      <c r="I46" s="8"/>
      <c r="J46" s="10"/>
      <c r="K46" s="10"/>
      <c r="L46" s="10"/>
      <c r="M46" s="87" t="s">
        <v>237</v>
      </c>
      <c r="N46" s="1214">
        <f>IF(C47&gt;0,(((G47-G46)/(C47-C46))^-1-IF(AG52&gt;0,AG52^-1,0))^-1,0)</f>
        <v>0</v>
      </c>
      <c r="O46" s="1215"/>
      <c r="P46" s="1197"/>
      <c r="Q46" s="1198"/>
      <c r="R46" s="1198"/>
      <c r="S46" s="11"/>
      <c r="T46" s="1187" t="s">
        <v>235</v>
      </c>
      <c r="U46" s="1186"/>
      <c r="V46" s="1182"/>
      <c r="W46" s="1183"/>
      <c r="X46" s="1186" t="s">
        <v>236</v>
      </c>
      <c r="Y46" s="1186"/>
      <c r="Z46" s="1182"/>
      <c r="AA46" s="1183"/>
      <c r="AB46" s="8"/>
      <c r="AC46" s="10"/>
      <c r="AD46" s="10"/>
      <c r="AE46" s="10"/>
      <c r="AF46" s="87" t="s">
        <v>237</v>
      </c>
      <c r="AG46" s="1190">
        <f>IF((V47-V46)&gt;0,(Z47-Z46)/(V47-V46),0)</f>
        <v>0</v>
      </c>
      <c r="AH46" s="1191"/>
      <c r="AI46" s="10"/>
      <c r="AJ46" s="10"/>
      <c r="AK46" s="10"/>
      <c r="AL46" s="11"/>
    </row>
    <row r="47" spans="1:38" ht="14.25" customHeight="1">
      <c r="A47" s="1187" t="s">
        <v>238</v>
      </c>
      <c r="B47" s="1186"/>
      <c r="C47" s="1182"/>
      <c r="D47" s="1183"/>
      <c r="E47" s="1186" t="s">
        <v>239</v>
      </c>
      <c r="F47" s="1186"/>
      <c r="G47" s="1182"/>
      <c r="H47" s="1183"/>
      <c r="I47" s="162" t="str">
        <f>IFERROR(IF(AND(N46&lt;0,G47&gt;G46),"Congrats! You've found an Easter egg!",""),"")</f>
        <v/>
      </c>
      <c r="P47" s="10"/>
      <c r="Q47" s="10"/>
      <c r="R47" s="10"/>
      <c r="S47" s="11"/>
      <c r="T47" s="1187" t="s">
        <v>238</v>
      </c>
      <c r="U47" s="1186"/>
      <c r="V47" s="1182"/>
      <c r="W47" s="1183"/>
      <c r="X47" s="1186" t="s">
        <v>239</v>
      </c>
      <c r="Y47" s="1186"/>
      <c r="Z47" s="1182"/>
      <c r="AA47" s="1183"/>
      <c r="AB47" s="8"/>
      <c r="AC47" s="8"/>
      <c r="AD47" s="8"/>
      <c r="AE47" s="8"/>
      <c r="AF47" s="8"/>
      <c r="AG47" s="8"/>
      <c r="AH47" s="8"/>
      <c r="AI47" s="10"/>
      <c r="AJ47" s="10"/>
      <c r="AK47" s="10"/>
      <c r="AL47" s="11"/>
    </row>
    <row r="48" spans="1:38">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240</v>
      </c>
      <c r="B49" s="10"/>
      <c r="C49" s="10"/>
      <c r="D49" s="10"/>
      <c r="E49" s="10"/>
      <c r="F49" s="10"/>
      <c r="G49" s="10"/>
      <c r="H49" s="10"/>
      <c r="I49" s="10"/>
      <c r="J49" s="10"/>
      <c r="K49" s="10"/>
      <c r="L49" s="10"/>
      <c r="M49" s="10"/>
      <c r="N49" s="10"/>
      <c r="O49" s="10"/>
      <c r="P49" s="10"/>
      <c r="Q49" s="10"/>
      <c r="R49" s="10"/>
      <c r="S49" s="11"/>
      <c r="T49" s="9" t="s">
        <v>246</v>
      </c>
      <c r="U49" s="8"/>
      <c r="V49" s="8"/>
      <c r="W49" s="8"/>
      <c r="X49" s="8"/>
      <c r="Y49" s="8"/>
      <c r="Z49" s="8"/>
      <c r="AA49" s="8"/>
      <c r="AB49" s="8"/>
      <c r="AC49" s="8"/>
      <c r="AD49" s="8"/>
      <c r="AE49" s="8"/>
      <c r="AF49" s="8"/>
      <c r="AG49" s="8"/>
      <c r="AH49" s="8"/>
      <c r="AI49" s="8"/>
      <c r="AJ49" s="8"/>
      <c r="AK49" s="8"/>
      <c r="AL49" s="85"/>
    </row>
    <row r="50" spans="1:38" ht="14.25">
      <c r="A50" s="1187" t="s">
        <v>242</v>
      </c>
      <c r="B50" s="1186"/>
      <c r="C50" s="1216"/>
      <c r="D50" s="1217"/>
      <c r="E50" s="8"/>
      <c r="F50" s="10"/>
      <c r="G50" s="10"/>
      <c r="H50" s="10"/>
      <c r="I50" s="10"/>
      <c r="J50" s="10"/>
      <c r="K50" s="10"/>
      <c r="L50" s="10"/>
      <c r="M50" s="10"/>
      <c r="N50" s="10"/>
      <c r="O50" s="10"/>
      <c r="P50" s="10"/>
      <c r="Q50" s="10"/>
      <c r="R50" s="10"/>
      <c r="S50" s="11"/>
      <c r="T50" s="9"/>
      <c r="U50" s="87" t="s">
        <v>249</v>
      </c>
      <c r="V50" s="1176">
        <f>C53</f>
        <v>400</v>
      </c>
      <c r="W50" s="1177"/>
      <c r="X50" s="8" t="s">
        <v>250</v>
      </c>
      <c r="Y50" s="8"/>
      <c r="Z50" s="8"/>
      <c r="AA50" s="8"/>
      <c r="AB50" s="8"/>
      <c r="AC50" s="8"/>
      <c r="AD50" s="8"/>
      <c r="AE50" s="8"/>
      <c r="AF50" s="87" t="s">
        <v>251</v>
      </c>
      <c r="AG50" s="1174">
        <f>V51*(1/64)*PI()*(V52^4-V53^4)*200000</f>
        <v>1339009872.1404533</v>
      </c>
      <c r="AH50" s="1175"/>
      <c r="AI50" s="612">
        <f>AG50*48/V50^3</f>
        <v>1004.25740410534</v>
      </c>
      <c r="AJ50" s="8"/>
      <c r="AK50" s="8"/>
      <c r="AL50" s="85"/>
    </row>
    <row r="51" spans="1:38" ht="14.25">
      <c r="A51" s="12"/>
      <c r="B51" s="10"/>
      <c r="C51" s="651" t="str">
        <f>IF(L67&gt;12.7,"Force must be taken at max. 12.7 mm deflection!","")</f>
        <v/>
      </c>
      <c r="D51" s="652"/>
      <c r="E51" s="10"/>
      <c r="F51" s="10"/>
      <c r="G51" s="10"/>
      <c r="H51" s="10"/>
      <c r="I51" s="10"/>
      <c r="J51" s="10"/>
      <c r="K51" s="10"/>
      <c r="L51" s="10"/>
      <c r="M51" s="10"/>
      <c r="N51" s="10"/>
      <c r="O51" s="10"/>
      <c r="P51" s="10"/>
      <c r="Q51" s="10"/>
      <c r="R51" s="10"/>
      <c r="S51" s="11"/>
      <c r="T51" s="9"/>
      <c r="U51" s="87" t="s">
        <v>252</v>
      </c>
      <c r="V51" s="1172">
        <v>1</v>
      </c>
      <c r="W51" s="1173"/>
      <c r="X51" s="8" t="s">
        <v>253</v>
      </c>
      <c r="Y51" s="8"/>
      <c r="Z51" s="8"/>
      <c r="AA51" s="8"/>
      <c r="AB51" s="8"/>
      <c r="AC51" s="8"/>
      <c r="AD51" s="8"/>
      <c r="AE51" s="8"/>
      <c r="AF51" s="87" t="s">
        <v>254</v>
      </c>
      <c r="AG51" s="1174">
        <f>IF(AG46&gt;0,(AG46*V50^3)/48,AG50)</f>
        <v>1339009872.1404533</v>
      </c>
      <c r="AH51" s="1175"/>
      <c r="AI51" s="612">
        <f>AG51*48/V50^3</f>
        <v>1004.25740410534</v>
      </c>
      <c r="AJ51" s="298">
        <f>100*AG51/AG50</f>
        <v>100</v>
      </c>
      <c r="AK51" s="8" t="s">
        <v>255</v>
      </c>
      <c r="AL51" s="85"/>
    </row>
    <row r="52" spans="1:38" ht="15.4">
      <c r="A52" s="86" t="s">
        <v>256</v>
      </c>
      <c r="B52" s="10"/>
      <c r="C52" s="10"/>
      <c r="D52" s="10"/>
      <c r="E52" s="10"/>
      <c r="F52" s="10"/>
      <c r="G52" s="10"/>
      <c r="H52" s="10"/>
      <c r="I52" s="10"/>
      <c r="J52" s="10"/>
      <c r="K52" s="10"/>
      <c r="L52" s="10"/>
      <c r="M52" s="10"/>
      <c r="N52" s="10"/>
      <c r="O52" s="10"/>
      <c r="P52" s="10"/>
      <c r="Q52" s="10"/>
      <c r="R52" s="10"/>
      <c r="S52" s="11"/>
      <c r="T52" s="9"/>
      <c r="U52" s="87" t="s">
        <v>257</v>
      </c>
      <c r="V52" s="1172">
        <v>25.4</v>
      </c>
      <c r="W52" s="1173"/>
      <c r="X52" s="8" t="s">
        <v>258</v>
      </c>
      <c r="Y52" s="8"/>
      <c r="Z52" s="8"/>
      <c r="AA52" s="8"/>
      <c r="AB52" s="8"/>
      <c r="AC52" s="8"/>
      <c r="AD52" s="8"/>
      <c r="AE52" s="8"/>
      <c r="AF52" s="87" t="s">
        <v>259</v>
      </c>
      <c r="AG52" s="1178">
        <f>IF(AJ51&lt;75,0,IF(AG51&gt;=AG50,0,(AI51^-1-AI50^-1)^-1))</f>
        <v>0</v>
      </c>
      <c r="AH52" s="1179"/>
      <c r="AI52" s="8"/>
      <c r="AJ52" s="8"/>
      <c r="AK52" s="8"/>
      <c r="AL52" s="85"/>
    </row>
    <row r="53" spans="1:38" ht="12.75" customHeight="1">
      <c r="A53" s="9"/>
      <c r="B53" s="88" t="s">
        <v>249</v>
      </c>
      <c r="C53" s="1182">
        <v>400</v>
      </c>
      <c r="D53" s="1183"/>
      <c r="E53" s="8" t="s">
        <v>260</v>
      </c>
      <c r="F53" s="10"/>
      <c r="G53" s="10"/>
      <c r="H53" s="10"/>
      <c r="I53" s="10"/>
      <c r="J53" s="10"/>
      <c r="K53" s="10"/>
      <c r="L53" s="10"/>
      <c r="M53" s="10"/>
      <c r="N53" s="10"/>
      <c r="O53" s="10"/>
      <c r="P53" s="10"/>
      <c r="Q53" s="10"/>
      <c r="R53" s="10"/>
      <c r="S53" s="11"/>
      <c r="T53" s="9"/>
      <c r="U53" s="87" t="s">
        <v>261</v>
      </c>
      <c r="V53" s="1172">
        <v>23</v>
      </c>
      <c r="W53" s="1173"/>
      <c r="X53" s="8" t="s">
        <v>262</v>
      </c>
      <c r="Y53" s="8"/>
      <c r="Z53" s="8"/>
      <c r="AA53" s="8"/>
      <c r="AB53" s="8"/>
      <c r="AC53" s="8"/>
      <c r="AD53" s="8"/>
      <c r="AE53" s="8"/>
      <c r="AF53" s="8"/>
      <c r="AG53" s="8"/>
      <c r="AH53" s="8"/>
      <c r="AI53" s="8"/>
      <c r="AJ53" s="8"/>
      <c r="AK53" s="8"/>
      <c r="AL53" s="85"/>
    </row>
    <row r="54" spans="1:38">
      <c r="A54" s="1203" t="s">
        <v>263</v>
      </c>
      <c r="B54" s="1204"/>
      <c r="C54" s="1182">
        <v>275</v>
      </c>
      <c r="D54" s="1183"/>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203" t="s">
        <v>265</v>
      </c>
      <c r="B55" s="1204"/>
      <c r="C55" s="1172"/>
      <c r="D55" s="1173"/>
      <c r="E55" s="8" t="s">
        <v>266</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203" t="s">
        <v>267</v>
      </c>
      <c r="B56" s="1204"/>
      <c r="C56" s="1172"/>
      <c r="D56" s="1173"/>
      <c r="E56" s="8" t="s">
        <v>67</v>
      </c>
      <c r="F56" s="8"/>
      <c r="G56" s="8"/>
      <c r="H56" s="8"/>
      <c r="I56" s="8"/>
      <c r="J56" s="361" t="str">
        <f>IF(C56&lt;0.4*C57,"Asymmetrical lay-up: skin too thin in comparison, see T3.4.4.","")</f>
        <v/>
      </c>
      <c r="K56" s="8"/>
      <c r="L56" s="8"/>
      <c r="M56" s="8"/>
      <c r="N56" s="8"/>
      <c r="O56" s="10"/>
      <c r="P56" s="10"/>
      <c r="Q56" s="10"/>
      <c r="R56" s="10"/>
      <c r="S56" s="11"/>
      <c r="T56" s="9"/>
      <c r="U56" s="1199" t="str">
        <f>IF(AND(0&lt;$AJ$51,$AJ$51&lt;75),"Rig compliance out of normal bounds, perform and document another rig compliance test!","")</f>
        <v/>
      </c>
      <c r="V56" s="1199"/>
      <c r="W56" s="1199"/>
      <c r="X56" s="1199"/>
      <c r="Y56" s="1199"/>
      <c r="Z56" s="1199"/>
      <c r="AA56" s="1199"/>
      <c r="AB56" s="1199"/>
      <c r="AC56" s="1199"/>
      <c r="AD56" s="1199"/>
      <c r="AE56" s="1199"/>
      <c r="AF56" s="1199"/>
      <c r="AG56" s="1199"/>
      <c r="AH56" s="1199"/>
      <c r="AI56" s="1199"/>
      <c r="AJ56" s="1199"/>
      <c r="AK56" s="1199"/>
      <c r="AL56" s="85"/>
    </row>
    <row r="57" spans="1:38" ht="15.75" customHeight="1">
      <c r="A57" s="1203" t="s">
        <v>268</v>
      </c>
      <c r="B57" s="1204"/>
      <c r="C57" s="1172"/>
      <c r="D57" s="1173"/>
      <c r="E57" s="8" t="s">
        <v>68</v>
      </c>
      <c r="F57" s="8"/>
      <c r="G57" s="8"/>
      <c r="H57" s="8"/>
      <c r="I57" s="8"/>
      <c r="J57" s="361" t="str">
        <f>IF(C57&lt;0.4*C56,"Asymmetrical lay-up: skin too thin in comparison, see T3.4.4.","")</f>
        <v/>
      </c>
      <c r="K57" s="8"/>
      <c r="L57" s="8"/>
      <c r="M57" s="8"/>
      <c r="N57" s="8"/>
      <c r="O57" s="10"/>
      <c r="P57" s="10"/>
      <c r="Q57" s="10"/>
      <c r="R57" s="10"/>
      <c r="S57" s="11"/>
      <c r="T57" s="9"/>
      <c r="U57" s="1199"/>
      <c r="V57" s="1199"/>
      <c r="W57" s="1199"/>
      <c r="X57" s="1199"/>
      <c r="Y57" s="1199"/>
      <c r="Z57" s="1199"/>
      <c r="AA57" s="1199"/>
      <c r="AB57" s="1199"/>
      <c r="AC57" s="1199"/>
      <c r="AD57" s="1199"/>
      <c r="AE57" s="1199"/>
      <c r="AF57" s="1199"/>
      <c r="AG57" s="1199"/>
      <c r="AH57" s="1199"/>
      <c r="AI57" s="1199"/>
      <c r="AJ57" s="1199"/>
      <c r="AK57" s="1199"/>
      <c r="AL57" s="85"/>
    </row>
    <row r="58" spans="1:38" ht="14.25">
      <c r="A58" s="90"/>
      <c r="B58" s="87" t="s">
        <v>269</v>
      </c>
      <c r="C58" s="1192">
        <f>(C54*(((C55+C56+C57)^3)-(C55^3)))/12</f>
        <v>0</v>
      </c>
      <c r="D58" s="1193"/>
      <c r="E58" s="8" t="s">
        <v>270</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271</v>
      </c>
      <c r="C59" s="1188">
        <f>IF(C47&gt;0,0.001*((N46*(C47-C46)*C53^3)/(48*C58*(C47-C46))),0)</f>
        <v>0</v>
      </c>
      <c r="D59" s="1189"/>
      <c r="E59" s="8" t="s">
        <v>272</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273</v>
      </c>
      <c r="C60" s="1190" t="e">
        <f>C50*C53*0.5*SUM(C55:D57)/(4*C58)</f>
        <v>#DIV/0!</v>
      </c>
      <c r="D60" s="1191"/>
      <c r="E60" s="93" t="s">
        <v>274</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39" t="s">
        <v>275</v>
      </c>
      <c r="S61" s="15"/>
      <c r="T61" s="539" t="s">
        <v>275</v>
      </c>
      <c r="AL61" s="15"/>
    </row>
    <row r="62" spans="1:38">
      <c r="A62" s="8" t="s">
        <v>276</v>
      </c>
      <c r="S62" s="15"/>
      <c r="T62" s="8" t="s">
        <v>276</v>
      </c>
      <c r="AL62" s="15"/>
    </row>
    <row r="63" spans="1:38">
      <c r="A63" s="8" t="s">
        <v>277</v>
      </c>
      <c r="B63" s="104"/>
      <c r="C63" s="104"/>
      <c r="D63" s="104"/>
      <c r="E63" s="104"/>
      <c r="F63" s="104"/>
      <c r="G63" s="104"/>
      <c r="H63" s="104"/>
      <c r="I63" s="104"/>
      <c r="J63" s="104"/>
      <c r="K63" s="104"/>
      <c r="L63" s="104"/>
      <c r="M63" s="104"/>
      <c r="N63" s="104"/>
      <c r="O63" s="104"/>
      <c r="P63" s="104"/>
      <c r="Q63" s="104"/>
      <c r="R63" s="104"/>
      <c r="S63" s="147"/>
      <c r="T63" s="8" t="s">
        <v>277</v>
      </c>
      <c r="U63" s="104"/>
      <c r="V63" s="104"/>
      <c r="W63" s="104"/>
      <c r="X63" s="104"/>
      <c r="Y63" s="104"/>
      <c r="Z63" s="104"/>
      <c r="AA63" s="104"/>
      <c r="AB63" s="104"/>
      <c r="AC63" s="104"/>
      <c r="AD63" s="104"/>
      <c r="AE63" s="104"/>
      <c r="AF63" s="104"/>
      <c r="AG63" s="104"/>
      <c r="AH63" s="104"/>
      <c r="AI63" s="104"/>
      <c r="AJ63" s="104"/>
      <c r="AK63" s="104"/>
      <c r="AL63" s="147"/>
    </row>
    <row r="64" spans="1:38">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3.25">
      <c r="A65" s="146"/>
      <c r="B65" s="541"/>
      <c r="C65" s="737" t="s">
        <v>278</v>
      </c>
      <c r="D65" s="738" t="s">
        <v>279</v>
      </c>
      <c r="H65" s="1218"/>
      <c r="I65" s="1218"/>
      <c r="J65" s="1010"/>
      <c r="K65" s="1010"/>
      <c r="L65" s="1010"/>
      <c r="M65" s="1010"/>
      <c r="N65" s="1010"/>
      <c r="S65" s="15"/>
      <c r="T65" s="4"/>
      <c r="U65" s="541"/>
      <c r="V65" s="737" t="s">
        <v>278</v>
      </c>
      <c r="W65" s="738" t="s">
        <v>279</v>
      </c>
      <c r="AA65" s="1219"/>
      <c r="AB65" s="1219"/>
      <c r="AL65" s="15"/>
    </row>
    <row r="66" spans="1:38" ht="14.25">
      <c r="A66" s="146"/>
      <c r="B66" s="542">
        <v>1</v>
      </c>
      <c r="C66" s="824"/>
      <c r="D66" s="825"/>
      <c r="G66" s="514"/>
      <c r="H66" s="1017"/>
      <c r="I66" s="1017"/>
      <c r="J66" s="1010" t="s">
        <v>284</v>
      </c>
      <c r="K66" s="1010"/>
      <c r="L66" s="1010" cm="1">
        <f t="array" ref="L66">MATCH(MIN(ABS(C66:C365-C50)),ABS(C66:C365-C50),0)</f>
        <v>1</v>
      </c>
      <c r="M66" s="1010"/>
      <c r="N66" s="1010"/>
      <c r="S66" s="15"/>
      <c r="T66" s="4"/>
      <c r="U66" s="542">
        <v>1</v>
      </c>
      <c r="V66" s="824"/>
      <c r="W66" s="825"/>
      <c r="Z66" s="514"/>
      <c r="AA66" s="540"/>
      <c r="AB66" s="540"/>
      <c r="AL66" s="15"/>
    </row>
    <row r="67" spans="1:38">
      <c r="A67" s="146"/>
      <c r="B67" s="542">
        <v>2</v>
      </c>
      <c r="C67" s="826"/>
      <c r="D67" s="827"/>
      <c r="G67" s="1016"/>
      <c r="H67" s="1010"/>
      <c r="I67" s="1010"/>
      <c r="J67" s="1010" t="s">
        <v>283</v>
      </c>
      <c r="K67" s="1010"/>
      <c r="L67" s="1010" cm="1">
        <f t="array" ref="L67">INDEX(C66:E393,L66,2)</f>
        <v>0</v>
      </c>
      <c r="M67" s="1010"/>
      <c r="N67" s="1010"/>
      <c r="S67" s="15"/>
      <c r="T67" s="4"/>
      <c r="U67" s="542">
        <v>2</v>
      </c>
      <c r="V67" s="826"/>
      <c r="W67" s="827"/>
      <c r="Z67" s="1016"/>
      <c r="AL67" s="15"/>
    </row>
    <row r="68" spans="1:38">
      <c r="A68" s="146"/>
      <c r="B68" s="542">
        <v>3</v>
      </c>
      <c r="C68" s="826"/>
      <c r="D68" s="827"/>
      <c r="G68" s="1016"/>
      <c r="H68" s="1010"/>
      <c r="I68" s="1010"/>
      <c r="J68" s="1010"/>
      <c r="K68" s="1010"/>
      <c r="L68" s="1010"/>
      <c r="M68" s="1010"/>
      <c r="N68" s="1010"/>
      <c r="S68" s="15"/>
      <c r="T68" s="4"/>
      <c r="U68" s="542">
        <v>3</v>
      </c>
      <c r="V68" s="826"/>
      <c r="W68" s="827"/>
      <c r="Z68" s="1016"/>
      <c r="AL68" s="15"/>
    </row>
    <row r="69" spans="1:38">
      <c r="A69" s="146"/>
      <c r="B69" s="542">
        <v>4</v>
      </c>
      <c r="C69" s="826"/>
      <c r="D69" s="827"/>
      <c r="H69" s="1010"/>
      <c r="I69" s="1010"/>
      <c r="J69" s="1010"/>
      <c r="K69" s="1010"/>
      <c r="L69" s="1010"/>
      <c r="M69" s="1010"/>
      <c r="N69" s="1010"/>
      <c r="S69" s="15"/>
      <c r="T69" s="4"/>
      <c r="U69" s="542">
        <v>4</v>
      </c>
      <c r="V69" s="826"/>
      <c r="W69" s="827"/>
      <c r="AL69" s="15"/>
    </row>
    <row r="70" spans="1:38">
      <c r="A70" s="146"/>
      <c r="B70" s="542">
        <v>5</v>
      </c>
      <c r="C70" s="826"/>
      <c r="D70" s="827"/>
      <c r="H70" s="1010"/>
      <c r="I70" s="1010"/>
      <c r="J70" s="1010"/>
      <c r="K70" s="1010"/>
      <c r="L70" s="1010"/>
      <c r="M70" s="1010"/>
      <c r="N70" s="1010"/>
      <c r="S70" s="15"/>
      <c r="T70" s="4"/>
      <c r="U70" s="542">
        <v>5</v>
      </c>
      <c r="V70" s="826"/>
      <c r="W70" s="827"/>
      <c r="AL70" s="15"/>
    </row>
    <row r="71" spans="1:38">
      <c r="A71" s="146"/>
      <c r="B71" s="542">
        <v>6</v>
      </c>
      <c r="C71" s="826"/>
      <c r="D71" s="827"/>
      <c r="H71" s="1010"/>
      <c r="I71" s="1010"/>
      <c r="J71" s="1010"/>
      <c r="K71" s="1010"/>
      <c r="L71" s="1010"/>
      <c r="M71" s="1010"/>
      <c r="N71" s="1010"/>
      <c r="S71" s="15"/>
      <c r="T71" s="4"/>
      <c r="U71" s="542">
        <v>6</v>
      </c>
      <c r="V71" s="826"/>
      <c r="W71" s="827"/>
      <c r="AL71" s="15"/>
    </row>
    <row r="72" spans="1:38">
      <c r="A72" s="146"/>
      <c r="B72" s="542">
        <v>7</v>
      </c>
      <c r="C72" s="826"/>
      <c r="D72" s="827"/>
      <c r="H72" s="1010"/>
      <c r="I72" s="1010"/>
      <c r="J72" s="1010"/>
      <c r="K72" s="1010"/>
      <c r="L72" s="1010"/>
      <c r="M72" s="1010"/>
      <c r="N72" s="1010"/>
      <c r="S72" s="15"/>
      <c r="T72" s="4"/>
      <c r="U72" s="542">
        <v>7</v>
      </c>
      <c r="V72" s="826"/>
      <c r="W72" s="827"/>
      <c r="AL72" s="15"/>
    </row>
    <row r="73" spans="1:38">
      <c r="A73" s="146"/>
      <c r="B73" s="542">
        <v>8</v>
      </c>
      <c r="C73" s="826"/>
      <c r="D73" s="827"/>
      <c r="H73" s="1010"/>
      <c r="I73" s="1010"/>
      <c r="J73" s="1010"/>
      <c r="K73" s="1010"/>
      <c r="L73" s="1010"/>
      <c r="M73" s="1010"/>
      <c r="N73" s="1010"/>
      <c r="S73" s="15"/>
      <c r="T73" s="4"/>
      <c r="U73" s="542">
        <v>8</v>
      </c>
      <c r="V73" s="826"/>
      <c r="W73" s="827"/>
      <c r="AL73" s="15"/>
    </row>
    <row r="74" spans="1:38">
      <c r="A74" s="146"/>
      <c r="B74" s="542">
        <v>9</v>
      </c>
      <c r="C74" s="826"/>
      <c r="D74" s="827"/>
      <c r="H74" s="1010"/>
      <c r="I74" s="1010"/>
      <c r="J74" s="1010"/>
      <c r="K74" s="1010"/>
      <c r="L74" s="1010"/>
      <c r="M74" s="1010"/>
      <c r="N74" s="1010"/>
      <c r="S74" s="15"/>
      <c r="T74" s="4"/>
      <c r="U74" s="542">
        <v>9</v>
      </c>
      <c r="V74" s="826"/>
      <c r="W74" s="827"/>
      <c r="AL74" s="15"/>
    </row>
    <row r="75" spans="1:38">
      <c r="A75" s="146"/>
      <c r="B75" s="542">
        <v>10</v>
      </c>
      <c r="C75" s="826"/>
      <c r="D75" s="827"/>
      <c r="H75" s="1010"/>
      <c r="I75" s="1010"/>
      <c r="J75" s="1010"/>
      <c r="K75" s="1010"/>
      <c r="L75" s="1010"/>
      <c r="M75" s="1010"/>
      <c r="N75" s="1010"/>
      <c r="S75" s="15"/>
      <c r="T75" s="4"/>
      <c r="U75" s="542">
        <v>10</v>
      </c>
      <c r="V75" s="826"/>
      <c r="W75" s="827"/>
      <c r="AL75" s="15"/>
    </row>
    <row r="76" spans="1:38">
      <c r="A76" s="146"/>
      <c r="B76" s="542">
        <v>11</v>
      </c>
      <c r="C76" s="826"/>
      <c r="D76" s="827"/>
      <c r="H76" s="1010"/>
      <c r="I76" s="1010"/>
      <c r="J76" s="1010"/>
      <c r="K76" s="1010"/>
      <c r="L76" s="1010"/>
      <c r="M76" s="1010"/>
      <c r="N76" s="1010"/>
      <c r="S76" s="15"/>
      <c r="T76" s="4"/>
      <c r="U76" s="542">
        <v>11</v>
      </c>
      <c r="V76" s="826"/>
      <c r="W76" s="827"/>
      <c r="AL76" s="15"/>
    </row>
    <row r="77" spans="1:38">
      <c r="A77" s="146"/>
      <c r="B77" s="542">
        <v>12</v>
      </c>
      <c r="C77" s="826"/>
      <c r="D77" s="827"/>
      <c r="S77" s="15"/>
      <c r="T77" s="4"/>
      <c r="U77" s="542">
        <v>12</v>
      </c>
      <c r="V77" s="826"/>
      <c r="W77" s="827"/>
      <c r="AL77" s="15"/>
    </row>
    <row r="78" spans="1:38">
      <c r="A78" s="146"/>
      <c r="B78" s="542">
        <v>13</v>
      </c>
      <c r="C78" s="826"/>
      <c r="D78" s="827"/>
      <c r="S78" s="15"/>
      <c r="T78" s="4"/>
      <c r="U78" s="542">
        <v>13</v>
      </c>
      <c r="V78" s="826"/>
      <c r="W78" s="827"/>
      <c r="AL78" s="15"/>
    </row>
    <row r="79" spans="1:38">
      <c r="A79" s="146"/>
      <c r="B79" s="542">
        <v>14</v>
      </c>
      <c r="C79" s="826"/>
      <c r="D79" s="827"/>
      <c r="S79" s="15"/>
      <c r="T79" s="4"/>
      <c r="U79" s="542">
        <v>14</v>
      </c>
      <c r="V79" s="826"/>
      <c r="W79" s="827"/>
      <c r="AL79" s="15"/>
    </row>
    <row r="80" spans="1:38">
      <c r="A80" s="146"/>
      <c r="B80" s="542">
        <v>15</v>
      </c>
      <c r="C80" s="826"/>
      <c r="D80" s="827"/>
      <c r="S80" s="15"/>
      <c r="T80" s="4"/>
      <c r="U80" s="542">
        <v>15</v>
      </c>
      <c r="V80" s="826"/>
      <c r="W80" s="827"/>
      <c r="AL80" s="15"/>
    </row>
    <row r="81" spans="1:38">
      <c r="A81" s="146"/>
      <c r="B81" s="542">
        <v>16</v>
      </c>
      <c r="C81" s="826"/>
      <c r="D81" s="827"/>
      <c r="S81" s="15"/>
      <c r="T81" s="4"/>
      <c r="U81" s="542">
        <v>16</v>
      </c>
      <c r="V81" s="826"/>
      <c r="W81" s="827"/>
      <c r="AL81" s="15"/>
    </row>
    <row r="82" spans="1:38">
      <c r="A82" s="146"/>
      <c r="B82" s="542">
        <v>17</v>
      </c>
      <c r="C82" s="826"/>
      <c r="D82" s="827"/>
      <c r="S82" s="15"/>
      <c r="T82" s="4"/>
      <c r="U82" s="542">
        <v>17</v>
      </c>
      <c r="V82" s="826"/>
      <c r="W82" s="827"/>
      <c r="AL82" s="15"/>
    </row>
    <row r="83" spans="1:38">
      <c r="A83" s="146"/>
      <c r="B83" s="542">
        <v>18</v>
      </c>
      <c r="C83" s="826"/>
      <c r="D83" s="827"/>
      <c r="S83" s="15"/>
      <c r="T83" s="4"/>
      <c r="U83" s="542">
        <v>18</v>
      </c>
      <c r="V83" s="826"/>
      <c r="W83" s="827"/>
      <c r="AL83" s="15"/>
    </row>
    <row r="84" spans="1:38">
      <c r="A84" s="146"/>
      <c r="B84" s="542">
        <v>19</v>
      </c>
      <c r="C84" s="826"/>
      <c r="D84" s="827"/>
      <c r="S84" s="15"/>
      <c r="T84" s="4"/>
      <c r="U84" s="542">
        <v>19</v>
      </c>
      <c r="V84" s="826"/>
      <c r="W84" s="827"/>
      <c r="AL84" s="15"/>
    </row>
    <row r="85" spans="1:38">
      <c r="A85" s="146"/>
      <c r="B85" s="542">
        <v>20</v>
      </c>
      <c r="C85" s="826"/>
      <c r="D85" s="827"/>
      <c r="S85" s="15"/>
      <c r="T85" s="4"/>
      <c r="U85" s="542">
        <v>20</v>
      </c>
      <c r="V85" s="826"/>
      <c r="W85" s="827"/>
      <c r="AL85" s="15"/>
    </row>
    <row r="86" spans="1:38">
      <c r="A86" s="146"/>
      <c r="B86" s="542">
        <v>21</v>
      </c>
      <c r="C86" s="826"/>
      <c r="D86" s="827"/>
      <c r="S86" s="15"/>
      <c r="T86" s="4"/>
      <c r="U86" s="542">
        <v>21</v>
      </c>
      <c r="V86" s="826"/>
      <c r="W86" s="827"/>
      <c r="AL86" s="15"/>
    </row>
    <row r="87" spans="1:38">
      <c r="A87" s="146"/>
      <c r="B87" s="542">
        <v>22</v>
      </c>
      <c r="C87" s="826"/>
      <c r="D87" s="827"/>
      <c r="S87" s="15"/>
      <c r="T87" s="4"/>
      <c r="U87" s="542">
        <v>22</v>
      </c>
      <c r="V87" s="826"/>
      <c r="W87" s="827"/>
      <c r="AL87" s="15"/>
    </row>
    <row r="88" spans="1:38">
      <c r="A88" s="146"/>
      <c r="B88" s="542">
        <v>23</v>
      </c>
      <c r="C88" s="826"/>
      <c r="D88" s="827"/>
      <c r="S88" s="15"/>
      <c r="T88" s="4"/>
      <c r="U88" s="542">
        <v>23</v>
      </c>
      <c r="V88" s="826"/>
      <c r="W88" s="827"/>
      <c r="AL88" s="15"/>
    </row>
    <row r="89" spans="1:38">
      <c r="A89" s="146"/>
      <c r="B89" s="542">
        <v>24</v>
      </c>
      <c r="C89" s="826"/>
      <c r="D89" s="827"/>
      <c r="S89" s="15"/>
      <c r="T89" s="4"/>
      <c r="U89" s="542">
        <v>24</v>
      </c>
      <c r="V89" s="826"/>
      <c r="W89" s="827"/>
      <c r="AL89" s="15"/>
    </row>
    <row r="90" spans="1:38">
      <c r="A90" s="146"/>
      <c r="B90" s="542">
        <v>25</v>
      </c>
      <c r="C90" s="826"/>
      <c r="D90" s="827"/>
      <c r="S90" s="15"/>
      <c r="T90" s="4"/>
      <c r="U90" s="542">
        <v>25</v>
      </c>
      <c r="V90" s="826"/>
      <c r="W90" s="827"/>
      <c r="AL90" s="15"/>
    </row>
    <row r="91" spans="1:38">
      <c r="A91" s="146"/>
      <c r="B91" s="542">
        <v>26</v>
      </c>
      <c r="C91" s="826"/>
      <c r="D91" s="827"/>
      <c r="S91" s="15"/>
      <c r="T91" s="4"/>
      <c r="U91" s="542">
        <v>26</v>
      </c>
      <c r="V91" s="826"/>
      <c r="W91" s="827"/>
      <c r="AL91" s="15"/>
    </row>
    <row r="92" spans="1:38">
      <c r="A92" s="146"/>
      <c r="B92" s="542">
        <v>27</v>
      </c>
      <c r="C92" s="826"/>
      <c r="D92" s="827"/>
      <c r="S92" s="15"/>
      <c r="T92" s="4"/>
      <c r="U92" s="542">
        <v>27</v>
      </c>
      <c r="V92" s="826"/>
      <c r="W92" s="827"/>
      <c r="AL92" s="15"/>
    </row>
    <row r="93" spans="1:38">
      <c r="A93" s="146"/>
      <c r="B93" s="542">
        <v>28</v>
      </c>
      <c r="C93" s="826"/>
      <c r="D93" s="827"/>
      <c r="S93" s="15"/>
      <c r="T93" s="4"/>
      <c r="U93" s="542">
        <v>28</v>
      </c>
      <c r="V93" s="826"/>
      <c r="W93" s="827"/>
      <c r="AL93" s="15"/>
    </row>
    <row r="94" spans="1:38">
      <c r="A94" s="146"/>
      <c r="B94" s="542">
        <v>29</v>
      </c>
      <c r="C94" s="826"/>
      <c r="D94" s="827"/>
      <c r="S94" s="15"/>
      <c r="T94" s="4"/>
      <c r="U94" s="542">
        <v>29</v>
      </c>
      <c r="V94" s="826"/>
      <c r="W94" s="827"/>
      <c r="AL94" s="15"/>
    </row>
    <row r="95" spans="1:38">
      <c r="A95" s="146"/>
      <c r="B95" s="542">
        <v>30</v>
      </c>
      <c r="C95" s="826"/>
      <c r="D95" s="827"/>
      <c r="S95" s="15"/>
      <c r="T95" s="4"/>
      <c r="U95" s="542">
        <v>30</v>
      </c>
      <c r="V95" s="826"/>
      <c r="W95" s="827"/>
      <c r="AL95" s="15"/>
    </row>
    <row r="96" spans="1:38">
      <c r="A96" s="146"/>
      <c r="B96" s="542">
        <v>31</v>
      </c>
      <c r="C96" s="826"/>
      <c r="D96" s="827"/>
      <c r="S96" s="15"/>
      <c r="T96" s="4"/>
      <c r="U96" s="542">
        <v>31</v>
      </c>
      <c r="V96" s="826"/>
      <c r="W96" s="827"/>
      <c r="AL96" s="15"/>
    </row>
    <row r="97" spans="1:38">
      <c r="A97" s="146"/>
      <c r="B97" s="542">
        <v>32</v>
      </c>
      <c r="C97" s="826"/>
      <c r="D97" s="827"/>
      <c r="S97" s="15"/>
      <c r="T97" s="4"/>
      <c r="U97" s="542">
        <v>32</v>
      </c>
      <c r="V97" s="826"/>
      <c r="W97" s="827"/>
      <c r="AL97" s="15"/>
    </row>
    <row r="98" spans="1:38">
      <c r="A98" s="146"/>
      <c r="B98" s="542">
        <v>33</v>
      </c>
      <c r="C98" s="826"/>
      <c r="D98" s="827"/>
      <c r="S98" s="15"/>
      <c r="T98" s="4"/>
      <c r="U98" s="542">
        <v>33</v>
      </c>
      <c r="V98" s="826"/>
      <c r="W98" s="827"/>
      <c r="AL98" s="15"/>
    </row>
    <row r="99" spans="1:38">
      <c r="A99" s="146"/>
      <c r="B99" s="542">
        <v>34</v>
      </c>
      <c r="C99" s="826"/>
      <c r="D99" s="827"/>
      <c r="S99" s="15"/>
      <c r="T99" s="4"/>
      <c r="U99" s="542">
        <v>34</v>
      </c>
      <c r="V99" s="826"/>
      <c r="W99" s="827"/>
      <c r="AL99" s="15"/>
    </row>
    <row r="100" spans="1:38">
      <c r="A100" s="146"/>
      <c r="B100" s="542">
        <v>35</v>
      </c>
      <c r="C100" s="826"/>
      <c r="D100" s="827"/>
      <c r="S100" s="15"/>
      <c r="T100" s="4"/>
      <c r="U100" s="542">
        <v>35</v>
      </c>
      <c r="V100" s="826"/>
      <c r="W100" s="827"/>
      <c r="AL100" s="15"/>
    </row>
    <row r="101" spans="1:38">
      <c r="A101" s="146"/>
      <c r="B101" s="542">
        <v>36</v>
      </c>
      <c r="C101" s="826"/>
      <c r="D101" s="827"/>
      <c r="S101" s="15"/>
      <c r="T101" s="4"/>
      <c r="U101" s="542">
        <v>36</v>
      </c>
      <c r="V101" s="826"/>
      <c r="W101" s="827"/>
      <c r="AL101" s="15"/>
    </row>
    <row r="102" spans="1:38">
      <c r="A102" s="146"/>
      <c r="B102" s="542">
        <v>37</v>
      </c>
      <c r="C102" s="826"/>
      <c r="D102" s="827"/>
      <c r="S102" s="15"/>
      <c r="T102" s="4"/>
      <c r="U102" s="542">
        <v>37</v>
      </c>
      <c r="V102" s="826"/>
      <c r="W102" s="827"/>
      <c r="AL102" s="15"/>
    </row>
    <row r="103" spans="1:38">
      <c r="A103" s="146"/>
      <c r="B103" s="542">
        <v>38</v>
      </c>
      <c r="C103" s="826"/>
      <c r="D103" s="827"/>
      <c r="S103" s="15"/>
      <c r="T103" s="4"/>
      <c r="U103" s="542">
        <v>38</v>
      </c>
      <c r="V103" s="826"/>
      <c r="W103" s="827"/>
      <c r="AL103" s="15"/>
    </row>
    <row r="104" spans="1:38">
      <c r="A104" s="146"/>
      <c r="B104" s="542">
        <v>39</v>
      </c>
      <c r="C104" s="826"/>
      <c r="D104" s="827"/>
      <c r="S104" s="15"/>
      <c r="T104" s="4"/>
      <c r="U104" s="542">
        <v>39</v>
      </c>
      <c r="V104" s="826"/>
      <c r="W104" s="827"/>
      <c r="AL104" s="15"/>
    </row>
    <row r="105" spans="1:38">
      <c r="A105" s="146"/>
      <c r="B105" s="542">
        <v>40</v>
      </c>
      <c r="C105" s="826"/>
      <c r="D105" s="827"/>
      <c r="S105" s="15"/>
      <c r="T105" s="4"/>
      <c r="U105" s="542">
        <v>40</v>
      </c>
      <c r="V105" s="826"/>
      <c r="W105" s="827"/>
      <c r="AL105" s="15"/>
    </row>
    <row r="106" spans="1:38">
      <c r="A106" s="146"/>
      <c r="B106" s="542">
        <v>41</v>
      </c>
      <c r="C106" s="826"/>
      <c r="D106" s="827"/>
      <c r="S106" s="15"/>
      <c r="T106" s="4"/>
      <c r="U106" s="542">
        <v>41</v>
      </c>
      <c r="V106" s="826"/>
      <c r="W106" s="827"/>
      <c r="AL106" s="15"/>
    </row>
    <row r="107" spans="1:38">
      <c r="A107" s="146"/>
      <c r="B107" s="542">
        <v>42</v>
      </c>
      <c r="C107" s="826"/>
      <c r="D107" s="827"/>
      <c r="S107" s="15"/>
      <c r="T107" s="4"/>
      <c r="U107" s="542">
        <v>42</v>
      </c>
      <c r="V107" s="826"/>
      <c r="W107" s="827"/>
      <c r="AL107" s="15"/>
    </row>
    <row r="108" spans="1:38">
      <c r="A108" s="146"/>
      <c r="B108" s="542">
        <v>43</v>
      </c>
      <c r="C108" s="826"/>
      <c r="D108" s="827"/>
      <c r="S108" s="15"/>
      <c r="T108" s="4"/>
      <c r="U108" s="542">
        <v>43</v>
      </c>
      <c r="V108" s="826"/>
      <c r="W108" s="827"/>
      <c r="AL108" s="15"/>
    </row>
    <row r="109" spans="1:38">
      <c r="A109" s="146"/>
      <c r="B109" s="542">
        <v>44</v>
      </c>
      <c r="C109" s="826"/>
      <c r="D109" s="827"/>
      <c r="S109" s="15"/>
      <c r="T109" s="4"/>
      <c r="U109" s="542">
        <v>44</v>
      </c>
      <c r="V109" s="826"/>
      <c r="W109" s="827"/>
      <c r="AL109" s="15"/>
    </row>
    <row r="110" spans="1:38">
      <c r="A110" s="146"/>
      <c r="B110" s="542">
        <v>45</v>
      </c>
      <c r="C110" s="826"/>
      <c r="D110" s="827"/>
      <c r="S110" s="15"/>
      <c r="T110" s="4"/>
      <c r="U110" s="542">
        <v>45</v>
      </c>
      <c r="V110" s="826"/>
      <c r="W110" s="827"/>
      <c r="AL110" s="15"/>
    </row>
    <row r="111" spans="1:38">
      <c r="A111" s="146"/>
      <c r="B111" s="542">
        <v>46</v>
      </c>
      <c r="C111" s="826"/>
      <c r="D111" s="827"/>
      <c r="S111" s="15"/>
      <c r="T111" s="4"/>
      <c r="U111" s="542">
        <v>46</v>
      </c>
      <c r="V111" s="826"/>
      <c r="W111" s="827"/>
      <c r="AL111" s="15"/>
    </row>
    <row r="112" spans="1:38">
      <c r="A112" s="146"/>
      <c r="B112" s="542">
        <v>47</v>
      </c>
      <c r="C112" s="826"/>
      <c r="D112" s="827"/>
      <c r="S112" s="15"/>
      <c r="T112" s="4"/>
      <c r="U112" s="542">
        <v>47</v>
      </c>
      <c r="V112" s="826"/>
      <c r="W112" s="827"/>
      <c r="AL112" s="15"/>
    </row>
    <row r="113" spans="1:38">
      <c r="A113" s="146"/>
      <c r="B113" s="542">
        <v>48</v>
      </c>
      <c r="C113" s="826"/>
      <c r="D113" s="827"/>
      <c r="S113" s="15"/>
      <c r="T113" s="4"/>
      <c r="U113" s="542">
        <v>48</v>
      </c>
      <c r="V113" s="826"/>
      <c r="W113" s="827"/>
      <c r="AL113" s="15"/>
    </row>
    <row r="114" spans="1:38">
      <c r="A114" s="146"/>
      <c r="B114" s="542">
        <v>49</v>
      </c>
      <c r="C114" s="826"/>
      <c r="D114" s="827"/>
      <c r="S114" s="15"/>
      <c r="T114" s="4"/>
      <c r="U114" s="542">
        <v>49</v>
      </c>
      <c r="V114" s="826"/>
      <c r="W114" s="827"/>
      <c r="AL114" s="15"/>
    </row>
    <row r="115" spans="1:38">
      <c r="A115" s="146"/>
      <c r="B115" s="542">
        <v>50</v>
      </c>
      <c r="C115" s="826"/>
      <c r="D115" s="827"/>
      <c r="S115" s="15"/>
      <c r="T115" s="4"/>
      <c r="U115" s="542">
        <v>50</v>
      </c>
      <c r="V115" s="826"/>
      <c r="W115" s="827"/>
      <c r="AL115" s="15"/>
    </row>
    <row r="116" spans="1:38">
      <c r="A116" s="146"/>
      <c r="B116" s="542">
        <v>51</v>
      </c>
      <c r="C116" s="826"/>
      <c r="D116" s="827"/>
      <c r="S116" s="15"/>
      <c r="T116" s="4"/>
      <c r="U116" s="542">
        <v>51</v>
      </c>
      <c r="V116" s="826"/>
      <c r="W116" s="827"/>
      <c r="AL116" s="15"/>
    </row>
    <row r="117" spans="1:38">
      <c r="A117" s="146"/>
      <c r="B117" s="542">
        <v>52</v>
      </c>
      <c r="C117" s="826"/>
      <c r="D117" s="827"/>
      <c r="S117" s="15"/>
      <c r="T117" s="4"/>
      <c r="U117" s="542">
        <v>52</v>
      </c>
      <c r="V117" s="826"/>
      <c r="W117" s="827"/>
      <c r="AL117" s="15"/>
    </row>
    <row r="118" spans="1:38">
      <c r="A118" s="146"/>
      <c r="B118" s="542">
        <v>53</v>
      </c>
      <c r="C118" s="826"/>
      <c r="D118" s="827"/>
      <c r="S118" s="15"/>
      <c r="T118" s="4"/>
      <c r="U118" s="542">
        <v>53</v>
      </c>
      <c r="V118" s="826"/>
      <c r="W118" s="827"/>
      <c r="AL118" s="15"/>
    </row>
    <row r="119" spans="1:38">
      <c r="A119" s="146"/>
      <c r="B119" s="542">
        <v>54</v>
      </c>
      <c r="C119" s="826"/>
      <c r="D119" s="827"/>
      <c r="S119" s="15"/>
      <c r="T119" s="4"/>
      <c r="U119" s="542">
        <v>54</v>
      </c>
      <c r="V119" s="826"/>
      <c r="W119" s="827"/>
      <c r="AL119" s="15"/>
    </row>
    <row r="120" spans="1:38">
      <c r="A120" s="146"/>
      <c r="B120" s="542">
        <v>55</v>
      </c>
      <c r="C120" s="826"/>
      <c r="D120" s="827"/>
      <c r="S120" s="15"/>
      <c r="T120" s="4"/>
      <c r="U120" s="542">
        <v>55</v>
      </c>
      <c r="V120" s="826"/>
      <c r="W120" s="827"/>
      <c r="AL120" s="15"/>
    </row>
    <row r="121" spans="1:38">
      <c r="A121" s="146"/>
      <c r="B121" s="542">
        <v>56</v>
      </c>
      <c r="C121" s="826"/>
      <c r="D121" s="827"/>
      <c r="S121" s="15"/>
      <c r="T121" s="4"/>
      <c r="U121" s="542">
        <v>56</v>
      </c>
      <c r="V121" s="826"/>
      <c r="W121" s="827"/>
      <c r="AL121" s="15"/>
    </row>
    <row r="122" spans="1:38">
      <c r="A122" s="146"/>
      <c r="B122" s="542">
        <v>57</v>
      </c>
      <c r="C122" s="826"/>
      <c r="D122" s="827"/>
      <c r="S122" s="15"/>
      <c r="T122" s="4"/>
      <c r="U122" s="542">
        <v>57</v>
      </c>
      <c r="V122" s="826"/>
      <c r="W122" s="827"/>
      <c r="AL122" s="15"/>
    </row>
    <row r="123" spans="1:38">
      <c r="A123" s="146"/>
      <c r="B123" s="542">
        <v>58</v>
      </c>
      <c r="C123" s="826"/>
      <c r="D123" s="827"/>
      <c r="S123" s="15"/>
      <c r="T123" s="4"/>
      <c r="U123" s="542">
        <v>58</v>
      </c>
      <c r="V123" s="826"/>
      <c r="W123" s="827"/>
      <c r="AL123" s="15"/>
    </row>
    <row r="124" spans="1:38">
      <c r="A124" s="146"/>
      <c r="B124" s="542">
        <v>59</v>
      </c>
      <c r="C124" s="826"/>
      <c r="D124" s="827"/>
      <c r="S124" s="15"/>
      <c r="T124" s="4"/>
      <c r="U124" s="542">
        <v>59</v>
      </c>
      <c r="V124" s="826"/>
      <c r="W124" s="827"/>
      <c r="AL124" s="15"/>
    </row>
    <row r="125" spans="1:38">
      <c r="A125" s="146"/>
      <c r="B125" s="542">
        <v>60</v>
      </c>
      <c r="C125" s="826"/>
      <c r="D125" s="827"/>
      <c r="S125" s="15"/>
      <c r="T125" s="4"/>
      <c r="U125" s="542">
        <v>60</v>
      </c>
      <c r="V125" s="826"/>
      <c r="W125" s="827"/>
      <c r="AL125" s="15"/>
    </row>
    <row r="126" spans="1:38">
      <c r="A126" s="146"/>
      <c r="B126" s="542">
        <v>61</v>
      </c>
      <c r="C126" s="826"/>
      <c r="D126" s="827"/>
      <c r="S126" s="15"/>
      <c r="T126" s="4"/>
      <c r="U126" s="542">
        <v>61</v>
      </c>
      <c r="V126" s="826"/>
      <c r="W126" s="827"/>
      <c r="AL126" s="15"/>
    </row>
    <row r="127" spans="1:38">
      <c r="A127" s="146"/>
      <c r="B127" s="542">
        <v>62</v>
      </c>
      <c r="C127" s="826"/>
      <c r="D127" s="827"/>
      <c r="S127" s="15"/>
      <c r="T127" s="4"/>
      <c r="U127" s="542">
        <v>62</v>
      </c>
      <c r="V127" s="826"/>
      <c r="W127" s="827"/>
      <c r="AL127" s="15"/>
    </row>
    <row r="128" spans="1:38">
      <c r="A128" s="146"/>
      <c r="B128" s="542">
        <v>63</v>
      </c>
      <c r="C128" s="826"/>
      <c r="D128" s="827"/>
      <c r="S128" s="15"/>
      <c r="T128" s="4"/>
      <c r="U128" s="542">
        <v>63</v>
      </c>
      <c r="V128" s="826"/>
      <c r="W128" s="827"/>
      <c r="AL128" s="15"/>
    </row>
    <row r="129" spans="1:38">
      <c r="A129" s="146"/>
      <c r="B129" s="542">
        <v>64</v>
      </c>
      <c r="C129" s="826"/>
      <c r="D129" s="827"/>
      <c r="S129" s="15"/>
      <c r="T129" s="4"/>
      <c r="U129" s="542">
        <v>64</v>
      </c>
      <c r="V129" s="826"/>
      <c r="W129" s="827"/>
      <c r="AL129" s="15"/>
    </row>
    <row r="130" spans="1:38">
      <c r="A130" s="146"/>
      <c r="B130" s="542">
        <v>65</v>
      </c>
      <c r="C130" s="826"/>
      <c r="D130" s="827"/>
      <c r="S130" s="15"/>
      <c r="T130" s="4"/>
      <c r="U130" s="542">
        <v>65</v>
      </c>
      <c r="V130" s="826"/>
      <c r="W130" s="827"/>
      <c r="AL130" s="15"/>
    </row>
    <row r="131" spans="1:38">
      <c r="A131" s="146"/>
      <c r="B131" s="542">
        <v>66</v>
      </c>
      <c r="C131" s="826"/>
      <c r="D131" s="827"/>
      <c r="S131" s="15"/>
      <c r="T131" s="4"/>
      <c r="U131" s="542">
        <v>66</v>
      </c>
      <c r="V131" s="826"/>
      <c r="W131" s="827"/>
      <c r="AL131" s="15"/>
    </row>
    <row r="132" spans="1:38">
      <c r="A132" s="146"/>
      <c r="B132" s="542">
        <v>67</v>
      </c>
      <c r="C132" s="826"/>
      <c r="D132" s="827"/>
      <c r="S132" s="15"/>
      <c r="T132" s="4"/>
      <c r="U132" s="542">
        <v>67</v>
      </c>
      <c r="V132" s="826"/>
      <c r="W132" s="827"/>
      <c r="AL132" s="15"/>
    </row>
    <row r="133" spans="1:38">
      <c r="A133" s="146"/>
      <c r="B133" s="542">
        <v>68</v>
      </c>
      <c r="C133" s="826"/>
      <c r="D133" s="827"/>
      <c r="S133" s="15"/>
      <c r="T133" s="4"/>
      <c r="U133" s="542">
        <v>68</v>
      </c>
      <c r="V133" s="826"/>
      <c r="W133" s="827"/>
      <c r="AL133" s="15"/>
    </row>
    <row r="134" spans="1:38">
      <c r="A134" s="146"/>
      <c r="B134" s="542">
        <v>69</v>
      </c>
      <c r="C134" s="826"/>
      <c r="D134" s="827"/>
      <c r="S134" s="15"/>
      <c r="T134" s="4"/>
      <c r="U134" s="542">
        <v>69</v>
      </c>
      <c r="V134" s="826"/>
      <c r="W134" s="827"/>
      <c r="AL134" s="15"/>
    </row>
    <row r="135" spans="1:38">
      <c r="A135" s="146"/>
      <c r="B135" s="542">
        <v>70</v>
      </c>
      <c r="C135" s="826"/>
      <c r="D135" s="827"/>
      <c r="S135" s="15"/>
      <c r="T135" s="4"/>
      <c r="U135" s="542">
        <v>70</v>
      </c>
      <c r="V135" s="826"/>
      <c r="W135" s="827"/>
      <c r="AL135" s="15"/>
    </row>
    <row r="136" spans="1:38">
      <c r="A136" s="146"/>
      <c r="B136" s="542">
        <v>71</v>
      </c>
      <c r="C136" s="826"/>
      <c r="D136" s="827"/>
      <c r="S136" s="15"/>
      <c r="T136" s="4"/>
      <c r="U136" s="542">
        <v>71</v>
      </c>
      <c r="V136" s="826"/>
      <c r="W136" s="827"/>
      <c r="AL136" s="15"/>
    </row>
    <row r="137" spans="1:38">
      <c r="A137" s="146"/>
      <c r="B137" s="542">
        <v>72</v>
      </c>
      <c r="C137" s="826"/>
      <c r="D137" s="827"/>
      <c r="S137" s="15"/>
      <c r="T137" s="4"/>
      <c r="U137" s="542">
        <v>72</v>
      </c>
      <c r="V137" s="826"/>
      <c r="W137" s="827"/>
      <c r="AL137" s="15"/>
    </row>
    <row r="138" spans="1:38">
      <c r="A138" s="146"/>
      <c r="B138" s="542">
        <v>73</v>
      </c>
      <c r="C138" s="826"/>
      <c r="D138" s="827"/>
      <c r="S138" s="15"/>
      <c r="T138" s="4"/>
      <c r="U138" s="542">
        <v>73</v>
      </c>
      <c r="V138" s="826"/>
      <c r="W138" s="827"/>
      <c r="AL138" s="15"/>
    </row>
    <row r="139" spans="1:38">
      <c r="A139" s="146"/>
      <c r="B139" s="542">
        <v>74</v>
      </c>
      <c r="C139" s="826"/>
      <c r="D139" s="827"/>
      <c r="S139" s="15"/>
      <c r="T139" s="4"/>
      <c r="U139" s="542">
        <v>74</v>
      </c>
      <c r="V139" s="826"/>
      <c r="W139" s="827"/>
      <c r="AL139" s="15"/>
    </row>
    <row r="140" spans="1:38">
      <c r="A140" s="146"/>
      <c r="B140" s="542">
        <v>75</v>
      </c>
      <c r="C140" s="826"/>
      <c r="D140" s="827"/>
      <c r="S140" s="15"/>
      <c r="T140" s="4"/>
      <c r="U140" s="542">
        <v>75</v>
      </c>
      <c r="V140" s="826"/>
      <c r="W140" s="827"/>
      <c r="AL140" s="15"/>
    </row>
    <row r="141" spans="1:38">
      <c r="A141" s="146"/>
      <c r="B141" s="542">
        <v>76</v>
      </c>
      <c r="C141" s="826"/>
      <c r="D141" s="827"/>
      <c r="S141" s="15"/>
      <c r="T141" s="4"/>
      <c r="U141" s="542">
        <v>76</v>
      </c>
      <c r="V141" s="826"/>
      <c r="W141" s="827"/>
      <c r="AL141" s="15"/>
    </row>
    <row r="142" spans="1:38">
      <c r="A142" s="146"/>
      <c r="B142" s="542">
        <v>77</v>
      </c>
      <c r="C142" s="826"/>
      <c r="D142" s="827"/>
      <c r="S142" s="15"/>
      <c r="T142" s="4"/>
      <c r="U142" s="542">
        <v>77</v>
      </c>
      <c r="V142" s="826"/>
      <c r="W142" s="827"/>
      <c r="AL142" s="15"/>
    </row>
    <row r="143" spans="1:38">
      <c r="A143" s="146"/>
      <c r="B143" s="542">
        <v>78</v>
      </c>
      <c r="C143" s="826"/>
      <c r="D143" s="827"/>
      <c r="S143" s="15"/>
      <c r="T143" s="4"/>
      <c r="U143" s="542">
        <v>78</v>
      </c>
      <c r="V143" s="826"/>
      <c r="W143" s="827"/>
      <c r="AL143" s="15"/>
    </row>
    <row r="144" spans="1:38">
      <c r="A144" s="146"/>
      <c r="B144" s="542">
        <v>79</v>
      </c>
      <c r="C144" s="826"/>
      <c r="D144" s="827"/>
      <c r="S144" s="15"/>
      <c r="T144" s="4"/>
      <c r="U144" s="542">
        <v>79</v>
      </c>
      <c r="V144" s="826"/>
      <c r="W144" s="827"/>
      <c r="AL144" s="15"/>
    </row>
    <row r="145" spans="1:38">
      <c r="A145" s="146"/>
      <c r="B145" s="542">
        <v>80</v>
      </c>
      <c r="C145" s="826"/>
      <c r="D145" s="827"/>
      <c r="S145" s="15"/>
      <c r="T145" s="4"/>
      <c r="U145" s="542">
        <v>80</v>
      </c>
      <c r="V145" s="826"/>
      <c r="W145" s="827"/>
      <c r="AL145" s="15"/>
    </row>
    <row r="146" spans="1:38">
      <c r="A146" s="146"/>
      <c r="B146" s="542">
        <v>81</v>
      </c>
      <c r="C146" s="826"/>
      <c r="D146" s="827"/>
      <c r="S146" s="15"/>
      <c r="T146" s="4"/>
      <c r="U146" s="542">
        <v>81</v>
      </c>
      <c r="V146" s="826"/>
      <c r="W146" s="827"/>
      <c r="AL146" s="15"/>
    </row>
    <row r="147" spans="1:38">
      <c r="A147" s="146"/>
      <c r="B147" s="542">
        <v>82</v>
      </c>
      <c r="C147" s="826"/>
      <c r="D147" s="827"/>
      <c r="S147" s="15"/>
      <c r="T147" s="4"/>
      <c r="U147" s="542">
        <v>82</v>
      </c>
      <c r="V147" s="826"/>
      <c r="W147" s="827"/>
      <c r="AL147" s="15"/>
    </row>
    <row r="148" spans="1:38">
      <c r="A148" s="146"/>
      <c r="B148" s="542">
        <v>83</v>
      </c>
      <c r="C148" s="826"/>
      <c r="D148" s="827"/>
      <c r="S148" s="15"/>
      <c r="T148" s="4"/>
      <c r="U148" s="542">
        <v>83</v>
      </c>
      <c r="V148" s="826"/>
      <c r="W148" s="827"/>
      <c r="AL148" s="15"/>
    </row>
    <row r="149" spans="1:38">
      <c r="A149" s="146"/>
      <c r="B149" s="542">
        <v>84</v>
      </c>
      <c r="C149" s="826"/>
      <c r="D149" s="827"/>
      <c r="S149" s="15"/>
      <c r="T149" s="4"/>
      <c r="U149" s="542">
        <v>84</v>
      </c>
      <c r="V149" s="826"/>
      <c r="W149" s="827"/>
      <c r="AL149" s="15"/>
    </row>
    <row r="150" spans="1:38">
      <c r="A150" s="146"/>
      <c r="B150" s="542">
        <v>85</v>
      </c>
      <c r="C150" s="826"/>
      <c r="D150" s="827"/>
      <c r="S150" s="15"/>
      <c r="T150" s="4"/>
      <c r="U150" s="542">
        <v>85</v>
      </c>
      <c r="V150" s="826"/>
      <c r="W150" s="827"/>
      <c r="AL150" s="15"/>
    </row>
    <row r="151" spans="1:38">
      <c r="A151" s="146"/>
      <c r="B151" s="542">
        <v>86</v>
      </c>
      <c r="C151" s="826"/>
      <c r="D151" s="827"/>
      <c r="S151" s="15"/>
      <c r="T151" s="4"/>
      <c r="U151" s="542">
        <v>86</v>
      </c>
      <c r="V151" s="826"/>
      <c r="W151" s="827"/>
      <c r="AL151" s="15"/>
    </row>
    <row r="152" spans="1:38">
      <c r="A152" s="146"/>
      <c r="B152" s="542">
        <v>87</v>
      </c>
      <c r="C152" s="826"/>
      <c r="D152" s="827"/>
      <c r="S152" s="15"/>
      <c r="T152" s="4"/>
      <c r="U152" s="542">
        <v>87</v>
      </c>
      <c r="V152" s="826"/>
      <c r="W152" s="827"/>
      <c r="AL152" s="15"/>
    </row>
    <row r="153" spans="1:38">
      <c r="A153" s="146"/>
      <c r="B153" s="542">
        <v>88</v>
      </c>
      <c r="C153" s="826"/>
      <c r="D153" s="827"/>
      <c r="S153" s="15"/>
      <c r="T153" s="4"/>
      <c r="U153" s="542">
        <v>88</v>
      </c>
      <c r="V153" s="826"/>
      <c r="W153" s="827"/>
      <c r="AL153" s="15"/>
    </row>
    <row r="154" spans="1:38">
      <c r="A154" s="146"/>
      <c r="B154" s="542">
        <v>89</v>
      </c>
      <c r="C154" s="826"/>
      <c r="D154" s="827"/>
      <c r="S154" s="15"/>
      <c r="T154" s="4"/>
      <c r="U154" s="542">
        <v>89</v>
      </c>
      <c r="V154" s="826"/>
      <c r="W154" s="827"/>
      <c r="AL154" s="15"/>
    </row>
    <row r="155" spans="1:38">
      <c r="A155" s="146"/>
      <c r="B155" s="542">
        <v>90</v>
      </c>
      <c r="C155" s="826"/>
      <c r="D155" s="827"/>
      <c r="S155" s="15"/>
      <c r="T155" s="4"/>
      <c r="U155" s="542">
        <v>90</v>
      </c>
      <c r="V155" s="826"/>
      <c r="W155" s="827"/>
      <c r="AL155" s="15"/>
    </row>
    <row r="156" spans="1:38">
      <c r="A156" s="146"/>
      <c r="B156" s="542">
        <v>91</v>
      </c>
      <c r="C156" s="826"/>
      <c r="D156" s="827"/>
      <c r="S156" s="15"/>
      <c r="T156" s="4"/>
      <c r="U156" s="542">
        <v>91</v>
      </c>
      <c r="V156" s="826"/>
      <c r="W156" s="827"/>
      <c r="AL156" s="15"/>
    </row>
    <row r="157" spans="1:38">
      <c r="A157" s="146"/>
      <c r="B157" s="542">
        <v>92</v>
      </c>
      <c r="C157" s="826"/>
      <c r="D157" s="827"/>
      <c r="S157" s="15"/>
      <c r="T157" s="4"/>
      <c r="U157" s="542">
        <v>92</v>
      </c>
      <c r="V157" s="826"/>
      <c r="W157" s="827"/>
      <c r="AL157" s="15"/>
    </row>
    <row r="158" spans="1:38">
      <c r="A158" s="146"/>
      <c r="B158" s="542">
        <v>93</v>
      </c>
      <c r="C158" s="826"/>
      <c r="D158" s="827"/>
      <c r="S158" s="15"/>
      <c r="T158" s="4"/>
      <c r="U158" s="542">
        <v>93</v>
      </c>
      <c r="V158" s="826"/>
      <c r="W158" s="827"/>
      <c r="AL158" s="15"/>
    </row>
    <row r="159" spans="1:38">
      <c r="A159" s="146"/>
      <c r="B159" s="542">
        <v>94</v>
      </c>
      <c r="C159" s="826"/>
      <c r="D159" s="827"/>
      <c r="S159" s="15"/>
      <c r="T159" s="4"/>
      <c r="U159" s="542">
        <v>94</v>
      </c>
      <c r="V159" s="826"/>
      <c r="W159" s="827"/>
      <c r="AL159" s="15"/>
    </row>
    <row r="160" spans="1:38">
      <c r="A160" s="146"/>
      <c r="B160" s="542">
        <v>95</v>
      </c>
      <c r="C160" s="826"/>
      <c r="D160" s="827"/>
      <c r="S160" s="15"/>
      <c r="T160" s="4"/>
      <c r="U160" s="542">
        <v>95</v>
      </c>
      <c r="V160" s="826"/>
      <c r="W160" s="827"/>
      <c r="AL160" s="15"/>
    </row>
    <row r="161" spans="1:38">
      <c r="A161" s="146"/>
      <c r="B161" s="542">
        <v>96</v>
      </c>
      <c r="C161" s="826"/>
      <c r="D161" s="827"/>
      <c r="S161" s="15"/>
      <c r="T161" s="4"/>
      <c r="U161" s="542">
        <v>96</v>
      </c>
      <c r="V161" s="826"/>
      <c r="W161" s="827"/>
      <c r="AL161" s="15"/>
    </row>
    <row r="162" spans="1:38">
      <c r="A162" s="146"/>
      <c r="B162" s="542">
        <v>97</v>
      </c>
      <c r="C162" s="826"/>
      <c r="D162" s="827"/>
      <c r="S162" s="15"/>
      <c r="T162" s="4"/>
      <c r="U162" s="542">
        <v>97</v>
      </c>
      <c r="V162" s="826"/>
      <c r="W162" s="827"/>
      <c r="AL162" s="15"/>
    </row>
    <row r="163" spans="1:38">
      <c r="A163" s="146"/>
      <c r="B163" s="542">
        <v>98</v>
      </c>
      <c r="C163" s="826"/>
      <c r="D163" s="827"/>
      <c r="S163" s="15"/>
      <c r="T163" s="4"/>
      <c r="U163" s="542">
        <v>98</v>
      </c>
      <c r="V163" s="826"/>
      <c r="W163" s="827"/>
      <c r="AL163" s="15"/>
    </row>
    <row r="164" spans="1:38">
      <c r="A164" s="146"/>
      <c r="B164" s="542">
        <v>99</v>
      </c>
      <c r="C164" s="826"/>
      <c r="D164" s="827"/>
      <c r="S164" s="15"/>
      <c r="T164" s="4"/>
      <c r="U164" s="542">
        <v>99</v>
      </c>
      <c r="V164" s="826"/>
      <c r="W164" s="827"/>
      <c r="AL164" s="15"/>
    </row>
    <row r="165" spans="1:38">
      <c r="A165" s="146"/>
      <c r="B165" s="542">
        <v>100</v>
      </c>
      <c r="C165" s="826"/>
      <c r="D165" s="827"/>
      <c r="S165" s="15"/>
      <c r="T165" s="4"/>
      <c r="U165" s="542">
        <v>100</v>
      </c>
      <c r="V165" s="826"/>
      <c r="W165" s="827"/>
      <c r="AL165" s="15"/>
    </row>
    <row r="166" spans="1:38">
      <c r="A166" s="146"/>
      <c r="B166" s="542">
        <v>101</v>
      </c>
      <c r="C166" s="826"/>
      <c r="D166" s="827"/>
      <c r="S166" s="15"/>
      <c r="T166" s="4"/>
      <c r="U166" s="542">
        <v>101</v>
      </c>
      <c r="V166" s="826"/>
      <c r="W166" s="827"/>
      <c r="AL166" s="15"/>
    </row>
    <row r="167" spans="1:38">
      <c r="A167" s="146"/>
      <c r="B167" s="542">
        <v>102</v>
      </c>
      <c r="C167" s="826"/>
      <c r="D167" s="827"/>
      <c r="S167" s="15"/>
      <c r="T167" s="4"/>
      <c r="U167" s="542">
        <v>102</v>
      </c>
      <c r="V167" s="826"/>
      <c r="W167" s="827"/>
      <c r="AL167" s="15"/>
    </row>
    <row r="168" spans="1:38">
      <c r="A168" s="146"/>
      <c r="B168" s="542">
        <v>103</v>
      </c>
      <c r="C168" s="828"/>
      <c r="D168" s="829"/>
      <c r="S168" s="15"/>
      <c r="T168" s="4"/>
      <c r="U168" s="542">
        <v>103</v>
      </c>
      <c r="V168" s="828"/>
      <c r="W168" s="829"/>
      <c r="AL168" s="15"/>
    </row>
    <row r="169" spans="1:38">
      <c r="A169" s="146"/>
      <c r="B169" s="542">
        <v>104</v>
      </c>
      <c r="C169" s="828"/>
      <c r="D169" s="829"/>
      <c r="S169" s="15"/>
      <c r="T169" s="4"/>
      <c r="U169" s="542">
        <v>104</v>
      </c>
      <c r="V169" s="828"/>
      <c r="W169" s="829"/>
      <c r="AL169" s="15"/>
    </row>
    <row r="170" spans="1:38">
      <c r="A170" s="146"/>
      <c r="B170" s="542">
        <v>105</v>
      </c>
      <c r="C170" s="828"/>
      <c r="D170" s="829"/>
      <c r="S170" s="15"/>
      <c r="T170" s="4"/>
      <c r="U170" s="542">
        <v>105</v>
      </c>
      <c r="V170" s="828"/>
      <c r="W170" s="829"/>
      <c r="AL170" s="15"/>
    </row>
    <row r="171" spans="1:38">
      <c r="A171" s="146"/>
      <c r="B171" s="542">
        <v>106</v>
      </c>
      <c r="C171" s="828"/>
      <c r="D171" s="829"/>
      <c r="S171" s="15"/>
      <c r="T171" s="4"/>
      <c r="U171" s="542">
        <v>106</v>
      </c>
      <c r="V171" s="828"/>
      <c r="W171" s="829"/>
      <c r="AL171" s="15"/>
    </row>
    <row r="172" spans="1:38">
      <c r="A172" s="146"/>
      <c r="B172" s="542">
        <v>107</v>
      </c>
      <c r="C172" s="828"/>
      <c r="D172" s="829"/>
      <c r="S172" s="15"/>
      <c r="T172" s="4"/>
      <c r="U172" s="542">
        <v>107</v>
      </c>
      <c r="V172" s="828"/>
      <c r="W172" s="829"/>
      <c r="AL172" s="15"/>
    </row>
    <row r="173" spans="1:38">
      <c r="A173" s="146"/>
      <c r="B173" s="542">
        <v>108</v>
      </c>
      <c r="C173" s="828"/>
      <c r="D173" s="829"/>
      <c r="S173" s="15"/>
      <c r="T173" s="4"/>
      <c r="U173" s="542">
        <v>108</v>
      </c>
      <c r="V173" s="828"/>
      <c r="W173" s="829"/>
      <c r="AL173" s="15"/>
    </row>
    <row r="174" spans="1:38">
      <c r="A174" s="146"/>
      <c r="B174" s="542">
        <v>109</v>
      </c>
      <c r="C174" s="828"/>
      <c r="D174" s="829"/>
      <c r="S174" s="15"/>
      <c r="T174" s="4"/>
      <c r="U174" s="542">
        <v>109</v>
      </c>
      <c r="V174" s="828"/>
      <c r="W174" s="829"/>
      <c r="AL174" s="15"/>
    </row>
    <row r="175" spans="1:38">
      <c r="A175" s="146"/>
      <c r="B175" s="542">
        <v>110</v>
      </c>
      <c r="C175" s="828"/>
      <c r="D175" s="829"/>
      <c r="S175" s="15"/>
      <c r="T175" s="4"/>
      <c r="U175" s="542">
        <v>110</v>
      </c>
      <c r="V175" s="828"/>
      <c r="W175" s="829"/>
      <c r="AL175" s="15"/>
    </row>
    <row r="176" spans="1:38">
      <c r="A176" s="146"/>
      <c r="B176" s="542">
        <v>111</v>
      </c>
      <c r="C176" s="828"/>
      <c r="D176" s="829"/>
      <c r="S176" s="15"/>
      <c r="T176" s="4"/>
      <c r="U176" s="542">
        <v>111</v>
      </c>
      <c r="V176" s="828"/>
      <c r="W176" s="829"/>
      <c r="AL176" s="15"/>
    </row>
    <row r="177" spans="1:38">
      <c r="A177" s="146"/>
      <c r="B177" s="542">
        <v>112</v>
      </c>
      <c r="C177" s="828"/>
      <c r="D177" s="829"/>
      <c r="S177" s="15"/>
      <c r="T177" s="4"/>
      <c r="U177" s="542">
        <v>112</v>
      </c>
      <c r="V177" s="828"/>
      <c r="W177" s="829"/>
      <c r="AL177" s="15"/>
    </row>
    <row r="178" spans="1:38">
      <c r="A178" s="146"/>
      <c r="B178" s="542">
        <v>113</v>
      </c>
      <c r="C178" s="828"/>
      <c r="D178" s="829"/>
      <c r="S178" s="15"/>
      <c r="T178" s="4"/>
      <c r="U178" s="542">
        <v>113</v>
      </c>
      <c r="V178" s="828"/>
      <c r="W178" s="829"/>
      <c r="AL178" s="15"/>
    </row>
    <row r="179" spans="1:38">
      <c r="A179" s="146"/>
      <c r="B179" s="542">
        <v>114</v>
      </c>
      <c r="C179" s="828"/>
      <c r="D179" s="829"/>
      <c r="S179" s="15"/>
      <c r="T179" s="4"/>
      <c r="U179" s="542">
        <v>114</v>
      </c>
      <c r="V179" s="828"/>
      <c r="W179" s="829"/>
      <c r="AL179" s="15"/>
    </row>
    <row r="180" spans="1:38">
      <c r="A180" s="146"/>
      <c r="B180" s="542">
        <v>115</v>
      </c>
      <c r="C180" s="828"/>
      <c r="D180" s="829"/>
      <c r="S180" s="15"/>
      <c r="T180" s="4"/>
      <c r="U180" s="542">
        <v>115</v>
      </c>
      <c r="V180" s="828"/>
      <c r="W180" s="829"/>
      <c r="AL180" s="15"/>
    </row>
    <row r="181" spans="1:38">
      <c r="A181" s="146"/>
      <c r="B181" s="542">
        <v>116</v>
      </c>
      <c r="C181" s="828"/>
      <c r="D181" s="829"/>
      <c r="S181" s="15"/>
      <c r="T181" s="4"/>
      <c r="U181" s="542">
        <v>116</v>
      </c>
      <c r="V181" s="828"/>
      <c r="W181" s="829"/>
      <c r="AL181" s="15"/>
    </row>
    <row r="182" spans="1:38">
      <c r="A182" s="146"/>
      <c r="B182" s="542">
        <v>117</v>
      </c>
      <c r="C182" s="828"/>
      <c r="D182" s="829"/>
      <c r="S182" s="15"/>
      <c r="T182" s="4"/>
      <c r="U182" s="542">
        <v>117</v>
      </c>
      <c r="V182" s="828"/>
      <c r="W182" s="829"/>
      <c r="AL182" s="15"/>
    </row>
    <row r="183" spans="1:38">
      <c r="A183" s="146"/>
      <c r="B183" s="542">
        <v>118</v>
      </c>
      <c r="C183" s="828"/>
      <c r="D183" s="829"/>
      <c r="S183" s="15"/>
      <c r="T183" s="4"/>
      <c r="U183" s="542">
        <v>118</v>
      </c>
      <c r="V183" s="828"/>
      <c r="W183" s="829"/>
      <c r="AL183" s="15"/>
    </row>
    <row r="184" spans="1:38">
      <c r="A184" s="146"/>
      <c r="B184" s="542">
        <v>119</v>
      </c>
      <c r="C184" s="828"/>
      <c r="D184" s="829"/>
      <c r="S184" s="15"/>
      <c r="T184" s="4"/>
      <c r="U184" s="542">
        <v>119</v>
      </c>
      <c r="V184" s="828"/>
      <c r="W184" s="829"/>
      <c r="AL184" s="15"/>
    </row>
    <row r="185" spans="1:38">
      <c r="A185" s="146"/>
      <c r="B185" s="542">
        <v>120</v>
      </c>
      <c r="C185" s="828"/>
      <c r="D185" s="829"/>
      <c r="S185" s="15"/>
      <c r="T185" s="4"/>
      <c r="U185" s="542">
        <v>120</v>
      </c>
      <c r="V185" s="828"/>
      <c r="W185" s="829"/>
      <c r="AL185" s="15"/>
    </row>
    <row r="186" spans="1:38">
      <c r="A186" s="104"/>
      <c r="B186" s="542">
        <v>121</v>
      </c>
      <c r="C186" s="828"/>
      <c r="D186" s="829"/>
      <c r="S186" s="15"/>
      <c r="U186" s="542">
        <v>121</v>
      </c>
      <c r="V186" s="828"/>
      <c r="W186" s="829"/>
      <c r="AL186" s="15"/>
    </row>
    <row r="187" spans="1:38">
      <c r="B187" s="542">
        <v>122</v>
      </c>
      <c r="C187" s="828"/>
      <c r="D187" s="829"/>
      <c r="S187" s="15"/>
      <c r="U187" s="542">
        <v>122</v>
      </c>
      <c r="V187" s="828"/>
      <c r="W187" s="829"/>
      <c r="AL187" s="15"/>
    </row>
    <row r="188" spans="1:38">
      <c r="B188" s="542">
        <v>123</v>
      </c>
      <c r="C188" s="828"/>
      <c r="D188" s="829"/>
      <c r="S188" s="15"/>
      <c r="U188" s="542">
        <v>123</v>
      </c>
      <c r="V188" s="828"/>
      <c r="W188" s="829"/>
      <c r="AL188" s="15"/>
    </row>
    <row r="189" spans="1:38">
      <c r="B189" s="542">
        <v>124</v>
      </c>
      <c r="C189" s="828"/>
      <c r="D189" s="829"/>
      <c r="S189" s="15"/>
      <c r="U189" s="542">
        <v>124</v>
      </c>
      <c r="V189" s="828"/>
      <c r="W189" s="829"/>
      <c r="AL189" s="15"/>
    </row>
    <row r="190" spans="1:38">
      <c r="B190" s="542">
        <v>125</v>
      </c>
      <c r="C190" s="828"/>
      <c r="D190" s="829"/>
      <c r="S190" s="15"/>
      <c r="U190" s="542">
        <v>125</v>
      </c>
      <c r="V190" s="828"/>
      <c r="W190" s="829"/>
      <c r="AL190" s="15"/>
    </row>
    <row r="191" spans="1:38">
      <c r="B191" s="542">
        <v>126</v>
      </c>
      <c r="C191" s="828"/>
      <c r="D191" s="829"/>
      <c r="S191" s="15"/>
      <c r="U191" s="542">
        <v>126</v>
      </c>
      <c r="V191" s="828"/>
      <c r="W191" s="829"/>
      <c r="AL191" s="15"/>
    </row>
    <row r="192" spans="1:38">
      <c r="B192" s="542">
        <v>127</v>
      </c>
      <c r="C192" s="828"/>
      <c r="D192" s="829"/>
      <c r="S192" s="15"/>
      <c r="U192" s="542">
        <v>127</v>
      </c>
      <c r="V192" s="828"/>
      <c r="W192" s="829"/>
      <c r="AL192" s="15"/>
    </row>
    <row r="193" spans="2:38">
      <c r="B193" s="542">
        <v>128</v>
      </c>
      <c r="C193" s="828"/>
      <c r="D193" s="829"/>
      <c r="S193" s="15"/>
      <c r="U193" s="542">
        <v>128</v>
      </c>
      <c r="V193" s="828"/>
      <c r="W193" s="829"/>
      <c r="AL193" s="15"/>
    </row>
    <row r="194" spans="2:38">
      <c r="B194" s="542">
        <v>129</v>
      </c>
      <c r="C194" s="828"/>
      <c r="D194" s="829"/>
      <c r="S194" s="15"/>
      <c r="U194" s="542">
        <v>129</v>
      </c>
      <c r="V194" s="828"/>
      <c r="W194" s="829"/>
      <c r="AL194" s="15"/>
    </row>
    <row r="195" spans="2:38">
      <c r="B195" s="542">
        <v>130</v>
      </c>
      <c r="C195" s="828"/>
      <c r="D195" s="829"/>
      <c r="S195" s="15"/>
      <c r="U195" s="542">
        <v>130</v>
      </c>
      <c r="V195" s="828"/>
      <c r="W195" s="829"/>
      <c r="AL195" s="15"/>
    </row>
    <row r="196" spans="2:38">
      <c r="B196" s="542">
        <v>131</v>
      </c>
      <c r="C196" s="828"/>
      <c r="D196" s="829"/>
      <c r="S196" s="15"/>
      <c r="U196" s="542">
        <v>131</v>
      </c>
      <c r="V196" s="828"/>
      <c r="W196" s="829"/>
      <c r="AL196" s="15"/>
    </row>
    <row r="197" spans="2:38">
      <c r="B197" s="542">
        <v>132</v>
      </c>
      <c r="C197" s="828"/>
      <c r="D197" s="829"/>
      <c r="S197" s="15"/>
      <c r="U197" s="542">
        <v>132</v>
      </c>
      <c r="V197" s="828"/>
      <c r="W197" s="829"/>
      <c r="AL197" s="15"/>
    </row>
    <row r="198" spans="2:38">
      <c r="B198" s="542">
        <v>133</v>
      </c>
      <c r="C198" s="828"/>
      <c r="D198" s="829"/>
      <c r="S198" s="15"/>
      <c r="U198" s="542">
        <v>133</v>
      </c>
      <c r="V198" s="828"/>
      <c r="W198" s="829"/>
      <c r="AL198" s="15"/>
    </row>
    <row r="199" spans="2:38">
      <c r="B199" s="542">
        <v>134</v>
      </c>
      <c r="C199" s="828"/>
      <c r="D199" s="829"/>
      <c r="S199" s="15"/>
      <c r="U199" s="542">
        <v>134</v>
      </c>
      <c r="V199" s="828"/>
      <c r="W199" s="829"/>
      <c r="AL199" s="15"/>
    </row>
    <row r="200" spans="2:38">
      <c r="B200" s="542">
        <v>135</v>
      </c>
      <c r="C200" s="828"/>
      <c r="D200" s="829"/>
      <c r="S200" s="15"/>
      <c r="U200" s="542">
        <v>135</v>
      </c>
      <c r="V200" s="828"/>
      <c r="W200" s="829"/>
      <c r="AL200" s="15"/>
    </row>
    <row r="201" spans="2:38">
      <c r="B201" s="542">
        <v>136</v>
      </c>
      <c r="C201" s="828"/>
      <c r="D201" s="829"/>
      <c r="S201" s="15"/>
      <c r="U201" s="542">
        <v>136</v>
      </c>
      <c r="V201" s="828"/>
      <c r="W201" s="829"/>
      <c r="AL201" s="15"/>
    </row>
    <row r="202" spans="2:38">
      <c r="B202" s="542">
        <v>137</v>
      </c>
      <c r="C202" s="828"/>
      <c r="D202" s="829"/>
      <c r="S202" s="15"/>
      <c r="U202" s="542">
        <v>137</v>
      </c>
      <c r="V202" s="828"/>
      <c r="W202" s="829"/>
      <c r="AL202" s="15"/>
    </row>
    <row r="203" spans="2:38">
      <c r="B203" s="542">
        <v>138</v>
      </c>
      <c r="C203" s="828"/>
      <c r="D203" s="829"/>
      <c r="S203" s="15"/>
      <c r="U203" s="542">
        <v>138</v>
      </c>
      <c r="V203" s="828"/>
      <c r="W203" s="829"/>
      <c r="AL203" s="15"/>
    </row>
    <row r="204" spans="2:38">
      <c r="B204" s="542">
        <v>139</v>
      </c>
      <c r="C204" s="828"/>
      <c r="D204" s="829"/>
      <c r="S204" s="15"/>
      <c r="U204" s="542">
        <v>139</v>
      </c>
      <c r="V204" s="828"/>
      <c r="W204" s="829"/>
      <c r="AL204" s="15"/>
    </row>
    <row r="205" spans="2:38">
      <c r="B205" s="542">
        <v>140</v>
      </c>
      <c r="C205" s="828"/>
      <c r="D205" s="829"/>
      <c r="S205" s="15"/>
      <c r="U205" s="542">
        <v>140</v>
      </c>
      <c r="V205" s="828"/>
      <c r="W205" s="829"/>
      <c r="AL205" s="15"/>
    </row>
    <row r="206" spans="2:38">
      <c r="B206" s="542">
        <v>141</v>
      </c>
      <c r="C206" s="828"/>
      <c r="D206" s="829"/>
      <c r="S206" s="15"/>
      <c r="U206" s="542">
        <v>141</v>
      </c>
      <c r="V206" s="828"/>
      <c r="W206" s="829"/>
      <c r="AL206" s="15"/>
    </row>
    <row r="207" spans="2:38">
      <c r="B207" s="542">
        <v>142</v>
      </c>
      <c r="C207" s="828"/>
      <c r="D207" s="829"/>
      <c r="S207" s="15"/>
      <c r="U207" s="542">
        <v>142</v>
      </c>
      <c r="V207" s="828"/>
      <c r="W207" s="829"/>
      <c r="AL207" s="15"/>
    </row>
    <row r="208" spans="2:38">
      <c r="B208" s="542">
        <v>143</v>
      </c>
      <c r="C208" s="828"/>
      <c r="D208" s="829"/>
      <c r="S208" s="15"/>
      <c r="U208" s="542">
        <v>143</v>
      </c>
      <c r="V208" s="828"/>
      <c r="W208" s="829"/>
      <c r="AL208" s="15"/>
    </row>
    <row r="209" spans="2:38">
      <c r="B209" s="542">
        <v>144</v>
      </c>
      <c r="C209" s="828"/>
      <c r="D209" s="829"/>
      <c r="S209" s="15"/>
      <c r="U209" s="542">
        <v>144</v>
      </c>
      <c r="V209" s="828"/>
      <c r="W209" s="829"/>
      <c r="AL209" s="15"/>
    </row>
    <row r="210" spans="2:38">
      <c r="B210" s="542">
        <v>145</v>
      </c>
      <c r="C210" s="828"/>
      <c r="D210" s="829"/>
      <c r="S210" s="15"/>
      <c r="U210" s="542">
        <v>145</v>
      </c>
      <c r="V210" s="828"/>
      <c r="W210" s="829"/>
      <c r="AL210" s="15"/>
    </row>
    <row r="211" spans="2:38">
      <c r="B211" s="542">
        <v>146</v>
      </c>
      <c r="C211" s="828"/>
      <c r="D211" s="829"/>
      <c r="S211" s="15"/>
      <c r="U211" s="542">
        <v>146</v>
      </c>
      <c r="V211" s="828"/>
      <c r="W211" s="829"/>
      <c r="AL211" s="15"/>
    </row>
    <row r="212" spans="2:38">
      <c r="B212" s="542">
        <v>147</v>
      </c>
      <c r="C212" s="828"/>
      <c r="D212" s="829"/>
      <c r="S212" s="15"/>
      <c r="U212" s="542">
        <v>147</v>
      </c>
      <c r="V212" s="828"/>
      <c r="W212" s="829"/>
      <c r="AL212" s="15"/>
    </row>
    <row r="213" spans="2:38">
      <c r="B213" s="542">
        <v>148</v>
      </c>
      <c r="C213" s="828"/>
      <c r="D213" s="829"/>
      <c r="S213" s="15"/>
      <c r="U213" s="542">
        <v>148</v>
      </c>
      <c r="V213" s="828"/>
      <c r="W213" s="829"/>
      <c r="AL213" s="15"/>
    </row>
    <row r="214" spans="2:38">
      <c r="B214" s="542">
        <v>149</v>
      </c>
      <c r="C214" s="828"/>
      <c r="D214" s="829"/>
      <c r="S214" s="15"/>
      <c r="U214" s="542">
        <v>149</v>
      </c>
      <c r="V214" s="828"/>
      <c r="W214" s="829"/>
      <c r="AL214" s="15"/>
    </row>
    <row r="215" spans="2:38">
      <c r="B215" s="542">
        <v>150</v>
      </c>
      <c r="C215" s="828"/>
      <c r="D215" s="829"/>
      <c r="S215" s="15"/>
      <c r="U215" s="542">
        <v>150</v>
      </c>
      <c r="V215" s="828"/>
      <c r="W215" s="829"/>
      <c r="AL215" s="15"/>
    </row>
    <row r="216" spans="2:38">
      <c r="B216" s="542">
        <v>151</v>
      </c>
      <c r="C216" s="828"/>
      <c r="D216" s="829"/>
      <c r="S216" s="15"/>
      <c r="U216" s="542">
        <v>151</v>
      </c>
      <c r="V216" s="828"/>
      <c r="W216" s="829"/>
      <c r="AL216" s="15"/>
    </row>
    <row r="217" spans="2:38">
      <c r="B217" s="542">
        <v>152</v>
      </c>
      <c r="C217" s="828"/>
      <c r="D217" s="829"/>
      <c r="S217" s="15"/>
      <c r="U217" s="542">
        <v>152</v>
      </c>
      <c r="V217" s="828"/>
      <c r="W217" s="829"/>
      <c r="AL217" s="15"/>
    </row>
    <row r="218" spans="2:38">
      <c r="B218" s="542">
        <v>153</v>
      </c>
      <c r="C218" s="828"/>
      <c r="D218" s="829"/>
      <c r="S218" s="15"/>
      <c r="U218" s="542">
        <v>153</v>
      </c>
      <c r="V218" s="828"/>
      <c r="W218" s="829"/>
      <c r="AL218" s="15"/>
    </row>
    <row r="219" spans="2:38">
      <c r="B219" s="542">
        <v>154</v>
      </c>
      <c r="C219" s="828"/>
      <c r="D219" s="829"/>
      <c r="S219" s="15"/>
      <c r="U219" s="542">
        <v>154</v>
      </c>
      <c r="V219" s="828"/>
      <c r="W219" s="829"/>
      <c r="AL219" s="15"/>
    </row>
    <row r="220" spans="2:38">
      <c r="B220" s="542">
        <v>155</v>
      </c>
      <c r="C220" s="828"/>
      <c r="D220" s="829"/>
      <c r="S220" s="15"/>
      <c r="U220" s="542">
        <v>155</v>
      </c>
      <c r="V220" s="828"/>
      <c r="W220" s="829"/>
      <c r="AL220" s="15"/>
    </row>
    <row r="221" spans="2:38">
      <c r="B221" s="542">
        <v>156</v>
      </c>
      <c r="C221" s="828"/>
      <c r="D221" s="829"/>
      <c r="S221" s="15"/>
      <c r="U221" s="542">
        <v>156</v>
      </c>
      <c r="V221" s="828"/>
      <c r="W221" s="829"/>
      <c r="AL221" s="15"/>
    </row>
    <row r="222" spans="2:38">
      <c r="B222" s="542">
        <v>157</v>
      </c>
      <c r="C222" s="828"/>
      <c r="D222" s="829"/>
      <c r="S222" s="15"/>
      <c r="U222" s="542">
        <v>157</v>
      </c>
      <c r="V222" s="828"/>
      <c r="W222" s="829"/>
      <c r="AL222" s="15"/>
    </row>
    <row r="223" spans="2:38">
      <c r="B223" s="542">
        <v>158</v>
      </c>
      <c r="C223" s="828"/>
      <c r="D223" s="829"/>
      <c r="S223" s="15"/>
      <c r="U223" s="542">
        <v>158</v>
      </c>
      <c r="V223" s="828"/>
      <c r="W223" s="829"/>
      <c r="AL223" s="15"/>
    </row>
    <row r="224" spans="2:38">
      <c r="B224" s="542">
        <v>159</v>
      </c>
      <c r="C224" s="828"/>
      <c r="D224" s="829"/>
      <c r="S224" s="15"/>
      <c r="U224" s="542">
        <v>159</v>
      </c>
      <c r="V224" s="828"/>
      <c r="W224" s="829"/>
      <c r="AL224" s="15"/>
    </row>
    <row r="225" spans="2:38">
      <c r="B225" s="542">
        <v>160</v>
      </c>
      <c r="C225" s="828"/>
      <c r="D225" s="829"/>
      <c r="S225" s="15"/>
      <c r="U225" s="542">
        <v>160</v>
      </c>
      <c r="V225" s="828"/>
      <c r="W225" s="829"/>
      <c r="AL225" s="15"/>
    </row>
    <row r="226" spans="2:38">
      <c r="B226" s="542">
        <v>161</v>
      </c>
      <c r="C226" s="828"/>
      <c r="D226" s="829"/>
      <c r="S226" s="15"/>
      <c r="U226" s="542">
        <v>161</v>
      </c>
      <c r="V226" s="828"/>
      <c r="W226" s="829"/>
      <c r="AL226" s="15"/>
    </row>
    <row r="227" spans="2:38">
      <c r="B227" s="542">
        <v>162</v>
      </c>
      <c r="C227" s="828"/>
      <c r="D227" s="829"/>
      <c r="S227" s="15"/>
      <c r="U227" s="542">
        <v>162</v>
      </c>
      <c r="V227" s="828"/>
      <c r="W227" s="829"/>
      <c r="AL227" s="15"/>
    </row>
    <row r="228" spans="2:38">
      <c r="B228" s="542">
        <v>163</v>
      </c>
      <c r="C228" s="828"/>
      <c r="D228" s="829"/>
      <c r="S228" s="15"/>
      <c r="U228" s="542">
        <v>163</v>
      </c>
      <c r="V228" s="828"/>
      <c r="W228" s="829"/>
      <c r="AL228" s="15"/>
    </row>
    <row r="229" spans="2:38">
      <c r="B229" s="542">
        <v>164</v>
      </c>
      <c r="C229" s="828"/>
      <c r="D229" s="829"/>
      <c r="S229" s="15"/>
      <c r="U229" s="542">
        <v>164</v>
      </c>
      <c r="V229" s="828"/>
      <c r="W229" s="829"/>
      <c r="AL229" s="15"/>
    </row>
    <row r="230" spans="2:38">
      <c r="B230" s="542">
        <v>165</v>
      </c>
      <c r="C230" s="828"/>
      <c r="D230" s="829"/>
      <c r="S230" s="15"/>
      <c r="U230" s="542">
        <v>165</v>
      </c>
      <c r="V230" s="828"/>
      <c r="W230" s="829"/>
      <c r="AL230" s="15"/>
    </row>
    <row r="231" spans="2:38">
      <c r="B231" s="542">
        <v>166</v>
      </c>
      <c r="C231" s="828"/>
      <c r="D231" s="829"/>
      <c r="S231" s="15"/>
      <c r="U231" s="542">
        <v>166</v>
      </c>
      <c r="V231" s="828"/>
      <c r="W231" s="829"/>
      <c r="AL231" s="15"/>
    </row>
    <row r="232" spans="2:38">
      <c r="B232" s="542">
        <v>167</v>
      </c>
      <c r="C232" s="828"/>
      <c r="D232" s="829"/>
      <c r="S232" s="15"/>
      <c r="U232" s="542">
        <v>167</v>
      </c>
      <c r="V232" s="828"/>
      <c r="W232" s="829"/>
      <c r="AL232" s="15"/>
    </row>
    <row r="233" spans="2:38">
      <c r="B233" s="542">
        <v>168</v>
      </c>
      <c r="C233" s="828"/>
      <c r="D233" s="829"/>
      <c r="S233" s="15"/>
      <c r="U233" s="542">
        <v>168</v>
      </c>
      <c r="V233" s="828"/>
      <c r="W233" s="829"/>
      <c r="AL233" s="15"/>
    </row>
    <row r="234" spans="2:38">
      <c r="B234" s="542">
        <v>169</v>
      </c>
      <c r="C234" s="828"/>
      <c r="D234" s="829"/>
      <c r="S234" s="15"/>
      <c r="U234" s="542">
        <v>169</v>
      </c>
      <c r="V234" s="828"/>
      <c r="W234" s="829"/>
      <c r="AL234" s="15"/>
    </row>
    <row r="235" spans="2:38">
      <c r="B235" s="542">
        <v>170</v>
      </c>
      <c r="C235" s="828"/>
      <c r="D235" s="829"/>
      <c r="S235" s="15"/>
      <c r="U235" s="542">
        <v>170</v>
      </c>
      <c r="V235" s="828"/>
      <c r="W235" s="829"/>
      <c r="AL235" s="15"/>
    </row>
    <row r="236" spans="2:38">
      <c r="B236" s="542">
        <v>171</v>
      </c>
      <c r="C236" s="828"/>
      <c r="D236" s="829"/>
      <c r="S236" s="15"/>
      <c r="U236" s="542">
        <v>171</v>
      </c>
      <c r="V236" s="828"/>
      <c r="W236" s="829"/>
      <c r="AL236" s="15"/>
    </row>
    <row r="237" spans="2:38">
      <c r="B237" s="542">
        <v>172</v>
      </c>
      <c r="C237" s="828"/>
      <c r="D237" s="830"/>
      <c r="S237" s="15"/>
      <c r="U237" s="542">
        <v>172</v>
      </c>
      <c r="V237" s="828"/>
      <c r="W237" s="830"/>
      <c r="AL237" s="15"/>
    </row>
    <row r="238" spans="2:38">
      <c r="B238" s="542">
        <v>173</v>
      </c>
      <c r="C238" s="831"/>
      <c r="D238" s="830"/>
      <c r="S238" s="15"/>
      <c r="U238" s="542">
        <v>173</v>
      </c>
      <c r="V238" s="831"/>
      <c r="W238" s="830"/>
      <c r="AL238" s="15"/>
    </row>
    <row r="239" spans="2:38">
      <c r="B239" s="542">
        <v>174</v>
      </c>
      <c r="C239" s="831"/>
      <c r="D239" s="830"/>
      <c r="S239" s="15"/>
      <c r="U239" s="542">
        <v>174</v>
      </c>
      <c r="V239" s="831"/>
      <c r="W239" s="830"/>
      <c r="AL239" s="15"/>
    </row>
    <row r="240" spans="2:38">
      <c r="B240" s="542">
        <v>175</v>
      </c>
      <c r="C240" s="831"/>
      <c r="D240" s="830"/>
      <c r="S240" s="15"/>
      <c r="U240" s="542">
        <v>175</v>
      </c>
      <c r="V240" s="831"/>
      <c r="W240" s="830"/>
      <c r="AL240" s="15"/>
    </row>
    <row r="241" spans="2:38">
      <c r="B241" s="542">
        <v>176</v>
      </c>
      <c r="C241" s="831"/>
      <c r="D241" s="830"/>
      <c r="S241" s="15"/>
      <c r="U241" s="542">
        <v>176</v>
      </c>
      <c r="V241" s="831"/>
      <c r="W241" s="830"/>
      <c r="AL241" s="15"/>
    </row>
    <row r="242" spans="2:38">
      <c r="B242" s="542">
        <v>177</v>
      </c>
      <c r="C242" s="831"/>
      <c r="D242" s="830"/>
      <c r="S242" s="15"/>
      <c r="U242" s="542">
        <v>177</v>
      </c>
      <c r="V242" s="831"/>
      <c r="W242" s="830"/>
      <c r="AL242" s="15"/>
    </row>
    <row r="243" spans="2:38">
      <c r="B243" s="542">
        <v>178</v>
      </c>
      <c r="C243" s="831"/>
      <c r="D243" s="830"/>
      <c r="S243" s="15"/>
      <c r="U243" s="542">
        <v>178</v>
      </c>
      <c r="V243" s="831"/>
      <c r="W243" s="830"/>
      <c r="AL243" s="15"/>
    </row>
    <row r="244" spans="2:38">
      <c r="B244" s="542">
        <v>179</v>
      </c>
      <c r="C244" s="831"/>
      <c r="D244" s="830"/>
      <c r="S244" s="15"/>
      <c r="U244" s="542">
        <v>179</v>
      </c>
      <c r="V244" s="831"/>
      <c r="W244" s="830"/>
      <c r="AL244" s="15"/>
    </row>
    <row r="245" spans="2:38">
      <c r="B245" s="542">
        <v>180</v>
      </c>
      <c r="C245" s="831"/>
      <c r="D245" s="830"/>
      <c r="S245" s="15"/>
      <c r="U245" s="542">
        <v>180</v>
      </c>
      <c r="V245" s="831"/>
      <c r="W245" s="830"/>
      <c r="AL245" s="15"/>
    </row>
    <row r="246" spans="2:38">
      <c r="B246" s="542">
        <v>181</v>
      </c>
      <c r="C246" s="831"/>
      <c r="D246" s="830"/>
      <c r="S246" s="15"/>
      <c r="U246" s="542">
        <v>181</v>
      </c>
      <c r="V246" s="831"/>
      <c r="W246" s="830"/>
      <c r="AL246" s="15"/>
    </row>
    <row r="247" spans="2:38">
      <c r="B247" s="542">
        <v>182</v>
      </c>
      <c r="C247" s="831"/>
      <c r="D247" s="830"/>
      <c r="S247" s="15"/>
      <c r="U247" s="542">
        <v>182</v>
      </c>
      <c r="V247" s="831"/>
      <c r="W247" s="830"/>
      <c r="AL247" s="15"/>
    </row>
    <row r="248" spans="2:38">
      <c r="B248" s="542">
        <v>183</v>
      </c>
      <c r="C248" s="831"/>
      <c r="D248" s="830"/>
      <c r="S248" s="15"/>
      <c r="U248" s="542">
        <v>183</v>
      </c>
      <c r="V248" s="831"/>
      <c r="W248" s="830"/>
      <c r="AL248" s="15"/>
    </row>
    <row r="249" spans="2:38">
      <c r="B249" s="542">
        <v>184</v>
      </c>
      <c r="C249" s="831"/>
      <c r="D249" s="830"/>
      <c r="S249" s="15"/>
      <c r="U249" s="542">
        <v>184</v>
      </c>
      <c r="V249" s="831"/>
      <c r="W249" s="830"/>
      <c r="AL249" s="15"/>
    </row>
    <row r="250" spans="2:38">
      <c r="B250" s="542">
        <v>185</v>
      </c>
      <c r="C250" s="831"/>
      <c r="D250" s="830"/>
      <c r="S250" s="15"/>
      <c r="U250" s="542">
        <v>185</v>
      </c>
      <c r="V250" s="831"/>
      <c r="W250" s="830"/>
      <c r="AL250" s="15"/>
    </row>
    <row r="251" spans="2:38">
      <c r="B251" s="542">
        <v>186</v>
      </c>
      <c r="C251" s="831"/>
      <c r="D251" s="830"/>
      <c r="S251" s="15"/>
      <c r="U251" s="542">
        <v>186</v>
      </c>
      <c r="V251" s="831"/>
      <c r="W251" s="830"/>
      <c r="AL251" s="15"/>
    </row>
    <row r="252" spans="2:38">
      <c r="B252" s="542">
        <v>187</v>
      </c>
      <c r="C252" s="831"/>
      <c r="D252" s="830"/>
      <c r="S252" s="15"/>
      <c r="U252" s="542">
        <v>187</v>
      </c>
      <c r="V252" s="831"/>
      <c r="W252" s="830"/>
      <c r="AL252" s="15"/>
    </row>
    <row r="253" spans="2:38">
      <c r="B253" s="542">
        <v>188</v>
      </c>
      <c r="C253" s="831"/>
      <c r="D253" s="830"/>
      <c r="S253" s="15"/>
      <c r="U253" s="542">
        <v>188</v>
      </c>
      <c r="V253" s="831"/>
      <c r="W253" s="830"/>
      <c r="AL253" s="15"/>
    </row>
    <row r="254" spans="2:38">
      <c r="B254" s="542">
        <v>189</v>
      </c>
      <c r="C254" s="831"/>
      <c r="D254" s="830"/>
      <c r="S254" s="15"/>
      <c r="U254" s="542">
        <v>189</v>
      </c>
      <c r="V254" s="831"/>
      <c r="W254" s="830"/>
      <c r="AL254" s="15"/>
    </row>
    <row r="255" spans="2:38">
      <c r="B255" s="542">
        <v>190</v>
      </c>
      <c r="C255" s="831"/>
      <c r="D255" s="830"/>
      <c r="S255" s="15"/>
      <c r="U255" s="542">
        <v>190</v>
      </c>
      <c r="V255" s="831"/>
      <c r="W255" s="830"/>
      <c r="AL255" s="15"/>
    </row>
    <row r="256" spans="2:38">
      <c r="B256" s="542">
        <v>191</v>
      </c>
      <c r="C256" s="831"/>
      <c r="D256" s="830"/>
      <c r="S256" s="15"/>
      <c r="U256" s="542">
        <v>191</v>
      </c>
      <c r="V256" s="831"/>
      <c r="W256" s="830"/>
      <c r="AL256" s="15"/>
    </row>
    <row r="257" spans="2:38">
      <c r="B257" s="542">
        <v>192</v>
      </c>
      <c r="C257" s="831"/>
      <c r="D257" s="830"/>
      <c r="S257" s="15"/>
      <c r="U257" s="542">
        <v>192</v>
      </c>
      <c r="V257" s="831"/>
      <c r="W257" s="830"/>
      <c r="AL257" s="15"/>
    </row>
    <row r="258" spans="2:38">
      <c r="B258" s="542">
        <v>193</v>
      </c>
      <c r="C258" s="831"/>
      <c r="D258" s="830"/>
      <c r="S258" s="15"/>
      <c r="U258" s="542">
        <v>193</v>
      </c>
      <c r="V258" s="831"/>
      <c r="W258" s="830"/>
      <c r="AL258" s="15"/>
    </row>
    <row r="259" spans="2:38">
      <c r="B259" s="542">
        <v>194</v>
      </c>
      <c r="C259" s="831"/>
      <c r="D259" s="830"/>
      <c r="S259" s="15"/>
      <c r="U259" s="542">
        <v>194</v>
      </c>
      <c r="V259" s="831"/>
      <c r="W259" s="830"/>
      <c r="AL259" s="15"/>
    </row>
    <row r="260" spans="2:38">
      <c r="B260" s="542">
        <v>195</v>
      </c>
      <c r="C260" s="831"/>
      <c r="D260" s="830"/>
      <c r="S260" s="15"/>
      <c r="U260" s="542">
        <v>195</v>
      </c>
      <c r="V260" s="831"/>
      <c r="W260" s="830"/>
      <c r="AL260" s="15"/>
    </row>
    <row r="261" spans="2:38">
      <c r="B261" s="542">
        <v>196</v>
      </c>
      <c r="C261" s="831"/>
      <c r="D261" s="830"/>
      <c r="S261" s="15"/>
      <c r="U261" s="542">
        <v>196</v>
      </c>
      <c r="V261" s="831"/>
      <c r="W261" s="830"/>
      <c r="AL261" s="15"/>
    </row>
    <row r="262" spans="2:38">
      <c r="B262" s="542">
        <v>197</v>
      </c>
      <c r="C262" s="831"/>
      <c r="D262" s="830"/>
      <c r="S262" s="15"/>
      <c r="U262" s="542">
        <v>197</v>
      </c>
      <c r="V262" s="831"/>
      <c r="W262" s="830"/>
      <c r="AL262" s="15"/>
    </row>
    <row r="263" spans="2:38">
      <c r="B263" s="542">
        <v>198</v>
      </c>
      <c r="C263" s="831"/>
      <c r="D263" s="830"/>
      <c r="S263" s="15"/>
      <c r="U263" s="542">
        <v>198</v>
      </c>
      <c r="V263" s="831"/>
      <c r="W263" s="830"/>
      <c r="AL263" s="15"/>
    </row>
    <row r="264" spans="2:38">
      <c r="B264" s="542">
        <v>199</v>
      </c>
      <c r="C264" s="831"/>
      <c r="D264" s="830"/>
      <c r="S264" s="15"/>
      <c r="U264" s="542">
        <v>199</v>
      </c>
      <c r="V264" s="831"/>
      <c r="W264" s="830"/>
      <c r="AL264" s="15"/>
    </row>
    <row r="265" spans="2:38">
      <c r="B265" s="542">
        <v>200</v>
      </c>
      <c r="C265" s="831"/>
      <c r="D265" s="830"/>
      <c r="S265" s="15"/>
      <c r="U265" s="542">
        <v>200</v>
      </c>
      <c r="V265" s="831"/>
      <c r="W265" s="830"/>
      <c r="AL265" s="15"/>
    </row>
    <row r="266" spans="2:38">
      <c r="B266" s="542">
        <v>201</v>
      </c>
      <c r="C266" s="831"/>
      <c r="D266" s="830"/>
      <c r="S266" s="15"/>
      <c r="U266" s="542">
        <v>201</v>
      </c>
      <c r="V266" s="831"/>
      <c r="W266" s="830"/>
      <c r="AL266" s="15"/>
    </row>
    <row r="267" spans="2:38">
      <c r="B267" s="542">
        <v>202</v>
      </c>
      <c r="C267" s="831"/>
      <c r="D267" s="830"/>
      <c r="S267" s="15"/>
      <c r="U267" s="542">
        <v>202</v>
      </c>
      <c r="V267" s="831"/>
      <c r="W267" s="830"/>
      <c r="AL267" s="15"/>
    </row>
    <row r="268" spans="2:38">
      <c r="B268" s="542">
        <v>203</v>
      </c>
      <c r="C268" s="831"/>
      <c r="D268" s="830"/>
      <c r="S268" s="15"/>
      <c r="U268" s="542">
        <v>203</v>
      </c>
      <c r="V268" s="831"/>
      <c r="W268" s="830"/>
      <c r="AL268" s="15"/>
    </row>
    <row r="269" spans="2:38">
      <c r="B269" s="542">
        <v>204</v>
      </c>
      <c r="C269" s="831"/>
      <c r="D269" s="830"/>
      <c r="S269" s="15"/>
      <c r="U269" s="542">
        <v>204</v>
      </c>
      <c r="V269" s="831"/>
      <c r="W269" s="830"/>
      <c r="AL269" s="15"/>
    </row>
    <row r="270" spans="2:38">
      <c r="B270" s="542">
        <v>205</v>
      </c>
      <c r="C270" s="831"/>
      <c r="D270" s="830"/>
      <c r="S270" s="15"/>
      <c r="U270" s="542">
        <v>205</v>
      </c>
      <c r="V270" s="831"/>
      <c r="W270" s="830"/>
      <c r="AL270" s="15"/>
    </row>
    <row r="271" spans="2:38">
      <c r="B271" s="542">
        <v>206</v>
      </c>
      <c r="C271" s="831"/>
      <c r="D271" s="830"/>
      <c r="S271" s="15"/>
      <c r="U271" s="542">
        <v>206</v>
      </c>
      <c r="V271" s="831"/>
      <c r="W271" s="830"/>
      <c r="AL271" s="15"/>
    </row>
    <row r="272" spans="2:38">
      <c r="B272" s="542">
        <v>207</v>
      </c>
      <c r="C272" s="831"/>
      <c r="D272" s="830"/>
      <c r="S272" s="15"/>
      <c r="U272" s="542">
        <v>207</v>
      </c>
      <c r="V272" s="831"/>
      <c r="W272" s="830"/>
      <c r="AL272" s="15"/>
    </row>
    <row r="273" spans="2:38">
      <c r="B273" s="542">
        <v>208</v>
      </c>
      <c r="C273" s="831"/>
      <c r="D273" s="830"/>
      <c r="S273" s="15"/>
      <c r="U273" s="542">
        <v>208</v>
      </c>
      <c r="V273" s="831"/>
      <c r="W273" s="830"/>
      <c r="AL273" s="15"/>
    </row>
    <row r="274" spans="2:38">
      <c r="B274" s="542">
        <v>209</v>
      </c>
      <c r="C274" s="831"/>
      <c r="D274" s="830"/>
      <c r="S274" s="15"/>
      <c r="U274" s="542">
        <v>209</v>
      </c>
      <c r="V274" s="831"/>
      <c r="W274" s="830"/>
      <c r="AL274" s="15"/>
    </row>
    <row r="275" spans="2:38">
      <c r="B275" s="542">
        <v>210</v>
      </c>
      <c r="C275" s="831"/>
      <c r="D275" s="830"/>
      <c r="S275" s="15"/>
      <c r="U275" s="542">
        <v>210</v>
      </c>
      <c r="V275" s="831"/>
      <c r="W275" s="830"/>
      <c r="AL275" s="15"/>
    </row>
    <row r="276" spans="2:38">
      <c r="B276" s="542">
        <v>211</v>
      </c>
      <c r="C276" s="831"/>
      <c r="D276" s="830"/>
      <c r="S276" s="15"/>
      <c r="U276" s="542">
        <v>211</v>
      </c>
      <c r="V276" s="831"/>
      <c r="W276" s="830"/>
      <c r="AL276" s="15"/>
    </row>
    <row r="277" spans="2:38">
      <c r="B277" s="542">
        <v>212</v>
      </c>
      <c r="C277" s="831"/>
      <c r="D277" s="830"/>
      <c r="S277" s="15"/>
      <c r="U277" s="542">
        <v>212</v>
      </c>
      <c r="V277" s="831"/>
      <c r="W277" s="830"/>
      <c r="AL277" s="15"/>
    </row>
    <row r="278" spans="2:38">
      <c r="B278" s="542">
        <v>213</v>
      </c>
      <c r="C278" s="831"/>
      <c r="D278" s="830"/>
      <c r="S278" s="15"/>
      <c r="U278" s="542">
        <v>213</v>
      </c>
      <c r="V278" s="831"/>
      <c r="W278" s="830"/>
      <c r="AL278" s="15"/>
    </row>
    <row r="279" spans="2:38">
      <c r="B279" s="542">
        <v>214</v>
      </c>
      <c r="C279" s="831"/>
      <c r="D279" s="830"/>
      <c r="S279" s="15"/>
      <c r="U279" s="542">
        <v>214</v>
      </c>
      <c r="V279" s="831"/>
      <c r="W279" s="830"/>
      <c r="AL279" s="15"/>
    </row>
    <row r="280" spans="2:38">
      <c r="B280" s="542">
        <v>215</v>
      </c>
      <c r="C280" s="831"/>
      <c r="D280" s="830"/>
      <c r="S280" s="15"/>
      <c r="U280" s="542">
        <v>215</v>
      </c>
      <c r="V280" s="831"/>
      <c r="W280" s="830"/>
      <c r="AL280" s="15"/>
    </row>
    <row r="281" spans="2:38">
      <c r="B281" s="542">
        <v>216</v>
      </c>
      <c r="C281" s="831"/>
      <c r="D281" s="830"/>
      <c r="S281" s="15"/>
      <c r="U281" s="542">
        <v>216</v>
      </c>
      <c r="V281" s="831"/>
      <c r="W281" s="830"/>
      <c r="AL281" s="15"/>
    </row>
    <row r="282" spans="2:38">
      <c r="B282" s="542">
        <v>217</v>
      </c>
      <c r="C282" s="831"/>
      <c r="D282" s="830"/>
      <c r="S282" s="15"/>
      <c r="U282" s="542">
        <v>217</v>
      </c>
      <c r="V282" s="831"/>
      <c r="W282" s="830"/>
      <c r="AL282" s="15"/>
    </row>
    <row r="283" spans="2:38">
      <c r="B283" s="542">
        <v>218</v>
      </c>
      <c r="C283" s="831"/>
      <c r="D283" s="830"/>
      <c r="S283" s="15"/>
      <c r="U283" s="542">
        <v>218</v>
      </c>
      <c r="V283" s="831"/>
      <c r="W283" s="830"/>
      <c r="AL283" s="15"/>
    </row>
    <row r="284" spans="2:38">
      <c r="B284" s="542">
        <v>219</v>
      </c>
      <c r="C284" s="831"/>
      <c r="D284" s="830"/>
      <c r="S284" s="15"/>
      <c r="U284" s="542">
        <v>219</v>
      </c>
      <c r="V284" s="831"/>
      <c r="W284" s="830"/>
      <c r="AL284" s="15"/>
    </row>
    <row r="285" spans="2:38">
      <c r="B285" s="542">
        <v>220</v>
      </c>
      <c r="C285" s="831"/>
      <c r="D285" s="830"/>
      <c r="S285" s="15"/>
      <c r="U285" s="542">
        <v>220</v>
      </c>
      <c r="V285" s="831"/>
      <c r="W285" s="830"/>
      <c r="AL285" s="15"/>
    </row>
    <row r="286" spans="2:38">
      <c r="B286" s="542">
        <v>221</v>
      </c>
      <c r="C286" s="831"/>
      <c r="D286" s="830"/>
      <c r="S286" s="15"/>
      <c r="U286" s="542">
        <v>221</v>
      </c>
      <c r="V286" s="831"/>
      <c r="W286" s="830"/>
      <c r="AL286" s="15"/>
    </row>
    <row r="287" spans="2:38">
      <c r="B287" s="542">
        <v>222</v>
      </c>
      <c r="C287" s="831"/>
      <c r="D287" s="830"/>
      <c r="S287" s="15"/>
      <c r="U287" s="542">
        <v>222</v>
      </c>
      <c r="V287" s="831"/>
      <c r="W287" s="830"/>
      <c r="AL287" s="15"/>
    </row>
    <row r="288" spans="2:38">
      <c r="B288" s="542">
        <v>223</v>
      </c>
      <c r="C288" s="831"/>
      <c r="D288" s="830"/>
      <c r="S288" s="15"/>
      <c r="U288" s="542">
        <v>223</v>
      </c>
      <c r="V288" s="831"/>
      <c r="W288" s="830"/>
      <c r="AL288" s="15"/>
    </row>
    <row r="289" spans="2:38">
      <c r="B289" s="542">
        <v>224</v>
      </c>
      <c r="C289" s="831"/>
      <c r="D289" s="830"/>
      <c r="S289" s="15"/>
      <c r="U289" s="542">
        <v>224</v>
      </c>
      <c r="V289" s="831"/>
      <c r="W289" s="830"/>
      <c r="AL289" s="15"/>
    </row>
    <row r="290" spans="2:38">
      <c r="B290" s="542">
        <v>225</v>
      </c>
      <c r="C290" s="831"/>
      <c r="D290" s="830"/>
      <c r="S290" s="15"/>
      <c r="U290" s="542">
        <v>225</v>
      </c>
      <c r="V290" s="831"/>
      <c r="W290" s="830"/>
      <c r="AL290" s="15"/>
    </row>
    <row r="291" spans="2:38">
      <c r="B291" s="542">
        <v>226</v>
      </c>
      <c r="C291" s="831"/>
      <c r="D291" s="830"/>
      <c r="S291" s="15"/>
      <c r="U291" s="542">
        <v>226</v>
      </c>
      <c r="V291" s="831"/>
      <c r="W291" s="830"/>
      <c r="AL291" s="15"/>
    </row>
    <row r="292" spans="2:38">
      <c r="B292" s="542">
        <v>227</v>
      </c>
      <c r="C292" s="831"/>
      <c r="D292" s="830"/>
      <c r="S292" s="15"/>
      <c r="U292" s="542">
        <v>227</v>
      </c>
      <c r="V292" s="831"/>
      <c r="W292" s="830"/>
      <c r="AL292" s="15"/>
    </row>
    <row r="293" spans="2:38">
      <c r="B293" s="542">
        <v>228</v>
      </c>
      <c r="C293" s="831"/>
      <c r="D293" s="830"/>
      <c r="S293" s="15"/>
      <c r="U293" s="542">
        <v>228</v>
      </c>
      <c r="V293" s="831"/>
      <c r="W293" s="830"/>
      <c r="AL293" s="15"/>
    </row>
    <row r="294" spans="2:38">
      <c r="B294" s="542">
        <v>229</v>
      </c>
      <c r="C294" s="831"/>
      <c r="D294" s="830"/>
      <c r="S294" s="15"/>
      <c r="U294" s="542">
        <v>229</v>
      </c>
      <c r="V294" s="831"/>
      <c r="W294" s="830"/>
      <c r="AL294" s="15"/>
    </row>
    <row r="295" spans="2:38">
      <c r="B295" s="542">
        <v>230</v>
      </c>
      <c r="C295" s="831"/>
      <c r="D295" s="830"/>
      <c r="S295" s="15"/>
      <c r="U295" s="542">
        <v>230</v>
      </c>
      <c r="V295" s="831"/>
      <c r="W295" s="830"/>
      <c r="AL295" s="15"/>
    </row>
    <row r="296" spans="2:38">
      <c r="B296" s="542">
        <v>231</v>
      </c>
      <c r="C296" s="831"/>
      <c r="D296" s="830"/>
      <c r="S296" s="15"/>
      <c r="U296" s="542">
        <v>231</v>
      </c>
      <c r="V296" s="831"/>
      <c r="W296" s="830"/>
      <c r="AL296" s="15"/>
    </row>
    <row r="297" spans="2:38">
      <c r="B297" s="542">
        <v>232</v>
      </c>
      <c r="C297" s="831"/>
      <c r="D297" s="830"/>
      <c r="S297" s="15"/>
      <c r="U297" s="542">
        <v>232</v>
      </c>
      <c r="V297" s="831"/>
      <c r="W297" s="830"/>
      <c r="AL297" s="15"/>
    </row>
    <row r="298" spans="2:38">
      <c r="B298" s="542">
        <v>233</v>
      </c>
      <c r="C298" s="831"/>
      <c r="D298" s="830"/>
      <c r="S298" s="15"/>
      <c r="U298" s="542">
        <v>233</v>
      </c>
      <c r="V298" s="831"/>
      <c r="W298" s="830"/>
      <c r="AL298" s="15"/>
    </row>
    <row r="299" spans="2:38">
      <c r="B299" s="542">
        <v>234</v>
      </c>
      <c r="C299" s="831"/>
      <c r="D299" s="830"/>
      <c r="S299" s="15"/>
      <c r="U299" s="542">
        <v>234</v>
      </c>
      <c r="V299" s="831"/>
      <c r="W299" s="830"/>
      <c r="AL299" s="15"/>
    </row>
    <row r="300" spans="2:38">
      <c r="B300" s="542">
        <v>235</v>
      </c>
      <c r="C300" s="831"/>
      <c r="D300" s="830"/>
      <c r="S300" s="15"/>
      <c r="U300" s="542">
        <v>235</v>
      </c>
      <c r="V300" s="831"/>
      <c r="W300" s="830"/>
      <c r="AL300" s="15"/>
    </row>
    <row r="301" spans="2:38">
      <c r="B301" s="542">
        <v>236</v>
      </c>
      <c r="C301" s="831"/>
      <c r="D301" s="830"/>
      <c r="S301" s="15"/>
      <c r="U301" s="542">
        <v>236</v>
      </c>
      <c r="V301" s="831"/>
      <c r="W301" s="830"/>
      <c r="AL301" s="15"/>
    </row>
    <row r="302" spans="2:38">
      <c r="B302" s="542">
        <v>237</v>
      </c>
      <c r="C302" s="831"/>
      <c r="D302" s="830"/>
      <c r="S302" s="15"/>
      <c r="U302" s="542">
        <v>237</v>
      </c>
      <c r="V302" s="831"/>
      <c r="W302" s="830"/>
      <c r="AL302" s="15"/>
    </row>
    <row r="303" spans="2:38">
      <c r="B303" s="542">
        <v>238</v>
      </c>
      <c r="C303" s="831"/>
      <c r="D303" s="830"/>
      <c r="S303" s="15"/>
      <c r="U303" s="542">
        <v>238</v>
      </c>
      <c r="V303" s="831"/>
      <c r="W303" s="830"/>
      <c r="AL303" s="15"/>
    </row>
    <row r="304" spans="2:38">
      <c r="B304" s="542">
        <v>239</v>
      </c>
      <c r="C304" s="831"/>
      <c r="D304" s="830"/>
      <c r="S304" s="15"/>
      <c r="U304" s="542">
        <v>239</v>
      </c>
      <c r="V304" s="831"/>
      <c r="W304" s="830"/>
      <c r="AL304" s="15"/>
    </row>
    <row r="305" spans="2:38">
      <c r="B305" s="542">
        <v>240</v>
      </c>
      <c r="C305" s="831"/>
      <c r="D305" s="830"/>
      <c r="S305" s="15"/>
      <c r="U305" s="542">
        <v>240</v>
      </c>
      <c r="V305" s="831"/>
      <c r="W305" s="830"/>
      <c r="AL305" s="15"/>
    </row>
    <row r="306" spans="2:38">
      <c r="B306" s="542">
        <v>241</v>
      </c>
      <c r="C306" s="831"/>
      <c r="D306" s="830"/>
      <c r="S306" s="15"/>
      <c r="U306" s="542">
        <v>241</v>
      </c>
      <c r="V306" s="831"/>
      <c r="W306" s="830"/>
      <c r="AL306" s="15"/>
    </row>
    <row r="307" spans="2:38">
      <c r="B307" s="542">
        <v>242</v>
      </c>
      <c r="C307" s="831"/>
      <c r="D307" s="830"/>
      <c r="S307" s="15"/>
      <c r="U307" s="542">
        <v>242</v>
      </c>
      <c r="V307" s="831"/>
      <c r="W307" s="830"/>
      <c r="AL307" s="15"/>
    </row>
    <row r="308" spans="2:38">
      <c r="B308" s="542">
        <v>243</v>
      </c>
      <c r="C308" s="831"/>
      <c r="D308" s="830"/>
      <c r="S308" s="15"/>
      <c r="U308" s="542">
        <v>243</v>
      </c>
      <c r="V308" s="831"/>
      <c r="W308" s="830"/>
      <c r="AL308" s="15"/>
    </row>
    <row r="309" spans="2:38">
      <c r="B309" s="542">
        <v>244</v>
      </c>
      <c r="C309" s="831"/>
      <c r="D309" s="830"/>
      <c r="S309" s="15"/>
      <c r="U309" s="542">
        <v>244</v>
      </c>
      <c r="V309" s="831"/>
      <c r="W309" s="830"/>
      <c r="AL309" s="15"/>
    </row>
    <row r="310" spans="2:38">
      <c r="B310" s="542">
        <v>245</v>
      </c>
      <c r="C310" s="831"/>
      <c r="D310" s="830"/>
      <c r="S310" s="15"/>
      <c r="U310" s="542">
        <v>245</v>
      </c>
      <c r="V310" s="831"/>
      <c r="W310" s="830"/>
      <c r="AL310" s="15"/>
    </row>
    <row r="311" spans="2:38">
      <c r="B311" s="542">
        <v>246</v>
      </c>
      <c r="C311" s="831"/>
      <c r="D311" s="830"/>
      <c r="S311" s="15"/>
      <c r="U311" s="542">
        <v>246</v>
      </c>
      <c r="V311" s="831"/>
      <c r="W311" s="830"/>
      <c r="AL311" s="15"/>
    </row>
    <row r="312" spans="2:38">
      <c r="B312" s="542">
        <v>247</v>
      </c>
      <c r="C312" s="831"/>
      <c r="D312" s="830"/>
      <c r="S312" s="15"/>
      <c r="U312" s="542">
        <v>247</v>
      </c>
      <c r="V312" s="831"/>
      <c r="W312" s="830"/>
      <c r="AL312" s="15"/>
    </row>
    <row r="313" spans="2:38">
      <c r="B313" s="542">
        <v>248</v>
      </c>
      <c r="C313" s="831"/>
      <c r="D313" s="830"/>
      <c r="S313" s="15"/>
      <c r="U313" s="542">
        <v>248</v>
      </c>
      <c r="V313" s="831"/>
      <c r="W313" s="830"/>
      <c r="AL313" s="15"/>
    </row>
    <row r="314" spans="2:38">
      <c r="B314" s="542">
        <v>249</v>
      </c>
      <c r="C314" s="831"/>
      <c r="D314" s="830"/>
      <c r="S314" s="15"/>
      <c r="U314" s="542">
        <v>249</v>
      </c>
      <c r="V314" s="831"/>
      <c r="W314" s="830"/>
      <c r="AL314" s="15"/>
    </row>
    <row r="315" spans="2:38">
      <c r="B315" s="542">
        <v>250</v>
      </c>
      <c r="C315" s="831"/>
      <c r="D315" s="830"/>
      <c r="S315" s="15"/>
      <c r="U315" s="542">
        <v>250</v>
      </c>
      <c r="V315" s="831"/>
      <c r="W315" s="830"/>
      <c r="AL315" s="15"/>
    </row>
    <row r="316" spans="2:38">
      <c r="B316" s="542">
        <v>251</v>
      </c>
      <c r="C316" s="831"/>
      <c r="D316" s="830"/>
      <c r="S316" s="15"/>
      <c r="U316" s="542">
        <v>251</v>
      </c>
      <c r="V316" s="831"/>
      <c r="W316" s="830"/>
      <c r="AL316" s="15"/>
    </row>
    <row r="317" spans="2:38">
      <c r="B317" s="542">
        <v>252</v>
      </c>
      <c r="C317" s="831"/>
      <c r="D317" s="830"/>
      <c r="S317" s="15"/>
      <c r="U317" s="542">
        <v>252</v>
      </c>
      <c r="V317" s="831"/>
      <c r="W317" s="830"/>
      <c r="AL317" s="15"/>
    </row>
    <row r="318" spans="2:38">
      <c r="B318" s="542">
        <v>253</v>
      </c>
      <c r="C318" s="831"/>
      <c r="D318" s="830"/>
      <c r="S318" s="15"/>
      <c r="U318" s="542">
        <v>253</v>
      </c>
      <c r="V318" s="831"/>
      <c r="W318" s="830"/>
      <c r="AL318" s="15"/>
    </row>
    <row r="319" spans="2:38">
      <c r="B319" s="542">
        <v>254</v>
      </c>
      <c r="C319" s="831"/>
      <c r="D319" s="830"/>
      <c r="S319" s="15"/>
      <c r="U319" s="542">
        <v>254</v>
      </c>
      <c r="V319" s="831"/>
      <c r="W319" s="830"/>
      <c r="AL319" s="15"/>
    </row>
    <row r="320" spans="2:38">
      <c r="B320" s="542">
        <v>255</v>
      </c>
      <c r="C320" s="831"/>
      <c r="D320" s="830"/>
      <c r="S320" s="15"/>
      <c r="U320" s="542">
        <v>255</v>
      </c>
      <c r="V320" s="831"/>
      <c r="W320" s="830"/>
      <c r="AL320" s="15"/>
    </row>
    <row r="321" spans="2:38">
      <c r="B321" s="542">
        <v>256</v>
      </c>
      <c r="C321" s="831"/>
      <c r="D321" s="830"/>
      <c r="S321" s="15"/>
      <c r="U321" s="542">
        <v>256</v>
      </c>
      <c r="V321" s="831"/>
      <c r="W321" s="830"/>
      <c r="AL321" s="15"/>
    </row>
    <row r="322" spans="2:38">
      <c r="B322" s="542">
        <v>257</v>
      </c>
      <c r="C322" s="831"/>
      <c r="D322" s="830"/>
      <c r="S322" s="15"/>
      <c r="U322" s="542">
        <v>257</v>
      </c>
      <c r="V322" s="831"/>
      <c r="W322" s="830"/>
      <c r="AL322" s="15"/>
    </row>
    <row r="323" spans="2:38">
      <c r="B323" s="542">
        <v>258</v>
      </c>
      <c r="C323" s="831"/>
      <c r="D323" s="830"/>
      <c r="S323" s="15"/>
      <c r="U323" s="542">
        <v>258</v>
      </c>
      <c r="V323" s="831"/>
      <c r="W323" s="830"/>
      <c r="AL323" s="15"/>
    </row>
    <row r="324" spans="2:38">
      <c r="B324" s="542">
        <v>259</v>
      </c>
      <c r="C324" s="831"/>
      <c r="D324" s="830"/>
      <c r="S324" s="15"/>
      <c r="U324" s="542">
        <v>259</v>
      </c>
      <c r="V324" s="831"/>
      <c r="W324" s="830"/>
      <c r="AL324" s="15"/>
    </row>
    <row r="325" spans="2:38">
      <c r="B325" s="542">
        <v>260</v>
      </c>
      <c r="C325" s="831"/>
      <c r="D325" s="830"/>
      <c r="S325" s="15"/>
      <c r="U325" s="542">
        <v>260</v>
      </c>
      <c r="V325" s="831"/>
      <c r="W325" s="830"/>
      <c r="AL325" s="15"/>
    </row>
    <row r="326" spans="2:38">
      <c r="B326" s="542">
        <v>261</v>
      </c>
      <c r="C326" s="831"/>
      <c r="D326" s="830"/>
      <c r="S326" s="15"/>
      <c r="U326" s="542">
        <v>261</v>
      </c>
      <c r="V326" s="831"/>
      <c r="W326" s="830"/>
      <c r="AL326" s="15"/>
    </row>
    <row r="327" spans="2:38">
      <c r="B327" s="542">
        <v>262</v>
      </c>
      <c r="C327" s="831"/>
      <c r="D327" s="830"/>
      <c r="S327" s="15"/>
      <c r="U327" s="542">
        <v>262</v>
      </c>
      <c r="V327" s="831"/>
      <c r="W327" s="830"/>
      <c r="AL327" s="15"/>
    </row>
    <row r="328" spans="2:38">
      <c r="B328" s="542">
        <v>263</v>
      </c>
      <c r="C328" s="831"/>
      <c r="D328" s="830"/>
      <c r="S328" s="15"/>
      <c r="U328" s="542">
        <v>263</v>
      </c>
      <c r="V328" s="831"/>
      <c r="W328" s="830"/>
      <c r="AL328" s="15"/>
    </row>
    <row r="329" spans="2:38">
      <c r="B329" s="542">
        <v>264</v>
      </c>
      <c r="C329" s="831"/>
      <c r="D329" s="830"/>
      <c r="S329" s="15"/>
      <c r="U329" s="542">
        <v>264</v>
      </c>
      <c r="V329" s="831"/>
      <c r="W329" s="830"/>
      <c r="AL329" s="15"/>
    </row>
    <row r="330" spans="2:38">
      <c r="B330" s="542">
        <v>265</v>
      </c>
      <c r="C330" s="831"/>
      <c r="D330" s="830"/>
      <c r="S330" s="15"/>
      <c r="U330" s="542">
        <v>265</v>
      </c>
      <c r="V330" s="831"/>
      <c r="W330" s="830"/>
      <c r="AL330" s="15"/>
    </row>
    <row r="331" spans="2:38">
      <c r="B331" s="542">
        <v>266</v>
      </c>
      <c r="C331" s="831"/>
      <c r="D331" s="830"/>
      <c r="S331" s="15"/>
      <c r="U331" s="542">
        <v>266</v>
      </c>
      <c r="V331" s="831"/>
      <c r="W331" s="830"/>
      <c r="AL331" s="15"/>
    </row>
    <row r="332" spans="2:38">
      <c r="B332" s="542">
        <v>267</v>
      </c>
      <c r="C332" s="831"/>
      <c r="D332" s="830"/>
      <c r="S332" s="15"/>
      <c r="U332" s="542">
        <v>267</v>
      </c>
      <c r="V332" s="831"/>
      <c r="W332" s="830"/>
      <c r="AL332" s="15"/>
    </row>
    <row r="333" spans="2:38">
      <c r="B333" s="542">
        <v>268</v>
      </c>
      <c r="C333" s="831"/>
      <c r="D333" s="830"/>
      <c r="S333" s="15"/>
      <c r="U333" s="542">
        <v>268</v>
      </c>
      <c r="V333" s="831"/>
      <c r="W333" s="830"/>
      <c r="AL333" s="15"/>
    </row>
    <row r="334" spans="2:38">
      <c r="B334" s="542">
        <v>269</v>
      </c>
      <c r="C334" s="831"/>
      <c r="D334" s="830"/>
      <c r="S334" s="15"/>
      <c r="U334" s="542">
        <v>269</v>
      </c>
      <c r="V334" s="831"/>
      <c r="W334" s="830"/>
      <c r="AL334" s="15"/>
    </row>
    <row r="335" spans="2:38">
      <c r="B335" s="542">
        <v>270</v>
      </c>
      <c r="C335" s="831"/>
      <c r="D335" s="830"/>
      <c r="S335" s="15"/>
      <c r="U335" s="542">
        <v>270</v>
      </c>
      <c r="V335" s="831"/>
      <c r="W335" s="830"/>
      <c r="AL335" s="15"/>
    </row>
    <row r="336" spans="2:38">
      <c r="B336" s="542">
        <v>271</v>
      </c>
      <c r="C336" s="831"/>
      <c r="D336" s="830"/>
      <c r="S336" s="15"/>
      <c r="U336" s="542">
        <v>271</v>
      </c>
      <c r="V336" s="831"/>
      <c r="W336" s="830"/>
      <c r="AL336" s="15"/>
    </row>
    <row r="337" spans="2:38">
      <c r="B337" s="542">
        <v>272</v>
      </c>
      <c r="C337" s="831"/>
      <c r="D337" s="830"/>
      <c r="S337" s="15"/>
      <c r="U337" s="542">
        <v>272</v>
      </c>
      <c r="V337" s="831"/>
      <c r="W337" s="830"/>
      <c r="AL337" s="15"/>
    </row>
    <row r="338" spans="2:38">
      <c r="B338" s="542">
        <v>273</v>
      </c>
      <c r="C338" s="831"/>
      <c r="D338" s="830"/>
      <c r="S338" s="15"/>
      <c r="U338" s="542">
        <v>273</v>
      </c>
      <c r="V338" s="831"/>
      <c r="W338" s="830"/>
      <c r="AL338" s="15"/>
    </row>
    <row r="339" spans="2:38">
      <c r="B339" s="542">
        <v>274</v>
      </c>
      <c r="C339" s="831"/>
      <c r="D339" s="830"/>
      <c r="S339" s="15"/>
      <c r="U339" s="542">
        <v>274</v>
      </c>
      <c r="V339" s="831"/>
      <c r="W339" s="830"/>
      <c r="AL339" s="15"/>
    </row>
    <row r="340" spans="2:38">
      <c r="B340" s="542">
        <v>275</v>
      </c>
      <c r="C340" s="831"/>
      <c r="D340" s="830"/>
      <c r="S340" s="15"/>
      <c r="U340" s="542">
        <v>275</v>
      </c>
      <c r="V340" s="831"/>
      <c r="W340" s="830"/>
      <c r="AL340" s="15"/>
    </row>
    <row r="341" spans="2:38">
      <c r="B341" s="542">
        <v>276</v>
      </c>
      <c r="C341" s="831"/>
      <c r="D341" s="830"/>
      <c r="S341" s="15"/>
      <c r="U341" s="542">
        <v>276</v>
      </c>
      <c r="V341" s="831"/>
      <c r="W341" s="830"/>
      <c r="AL341" s="15"/>
    </row>
    <row r="342" spans="2:38">
      <c r="B342" s="542">
        <v>277</v>
      </c>
      <c r="C342" s="831"/>
      <c r="D342" s="830"/>
      <c r="S342" s="15"/>
      <c r="U342" s="542">
        <v>277</v>
      </c>
      <c r="V342" s="831"/>
      <c r="W342" s="830"/>
      <c r="AL342" s="15"/>
    </row>
    <row r="343" spans="2:38">
      <c r="B343" s="542">
        <v>278</v>
      </c>
      <c r="C343" s="831"/>
      <c r="D343" s="830"/>
      <c r="S343" s="15"/>
      <c r="U343" s="542">
        <v>278</v>
      </c>
      <c r="V343" s="831"/>
      <c r="W343" s="830"/>
      <c r="AL343" s="15"/>
    </row>
    <row r="344" spans="2:38">
      <c r="B344" s="542">
        <v>279</v>
      </c>
      <c r="C344" s="831"/>
      <c r="D344" s="830"/>
      <c r="S344" s="15"/>
      <c r="U344" s="542">
        <v>279</v>
      </c>
      <c r="V344" s="831"/>
      <c r="W344" s="830"/>
      <c r="AL344" s="15"/>
    </row>
    <row r="345" spans="2:38">
      <c r="B345" s="542">
        <v>280</v>
      </c>
      <c r="C345" s="831"/>
      <c r="D345" s="830"/>
      <c r="S345" s="15"/>
      <c r="U345" s="542">
        <v>280</v>
      </c>
      <c r="V345" s="831"/>
      <c r="W345" s="830"/>
      <c r="AL345" s="15"/>
    </row>
    <row r="346" spans="2:38">
      <c r="B346" s="542">
        <v>281</v>
      </c>
      <c r="C346" s="831"/>
      <c r="D346" s="830"/>
      <c r="S346" s="15"/>
      <c r="U346" s="542">
        <v>281</v>
      </c>
      <c r="V346" s="831"/>
      <c r="W346" s="830"/>
      <c r="AL346" s="15"/>
    </row>
    <row r="347" spans="2:38">
      <c r="B347" s="542">
        <v>282</v>
      </c>
      <c r="C347" s="831"/>
      <c r="D347" s="830"/>
      <c r="S347" s="15"/>
      <c r="U347" s="542">
        <v>282</v>
      </c>
      <c r="V347" s="831"/>
      <c r="W347" s="830"/>
      <c r="AL347" s="15"/>
    </row>
    <row r="348" spans="2:38">
      <c r="B348" s="542">
        <v>283</v>
      </c>
      <c r="C348" s="831"/>
      <c r="D348" s="830"/>
      <c r="S348" s="15"/>
      <c r="U348" s="542">
        <v>283</v>
      </c>
      <c r="V348" s="831"/>
      <c r="W348" s="830"/>
      <c r="AL348" s="15"/>
    </row>
    <row r="349" spans="2:38">
      <c r="B349" s="542">
        <v>284</v>
      </c>
      <c r="C349" s="831"/>
      <c r="D349" s="830"/>
      <c r="S349" s="15"/>
      <c r="U349" s="542">
        <v>284</v>
      </c>
      <c r="V349" s="831"/>
      <c r="W349" s="830"/>
      <c r="AL349" s="15"/>
    </row>
    <row r="350" spans="2:38">
      <c r="B350" s="542">
        <v>285</v>
      </c>
      <c r="C350" s="831"/>
      <c r="D350" s="830"/>
      <c r="S350" s="15"/>
      <c r="U350" s="542">
        <v>285</v>
      </c>
      <c r="V350" s="831"/>
      <c r="W350" s="830"/>
      <c r="AL350" s="15"/>
    </row>
    <row r="351" spans="2:38">
      <c r="B351" s="542">
        <v>286</v>
      </c>
      <c r="C351" s="831"/>
      <c r="D351" s="830"/>
      <c r="S351" s="15"/>
      <c r="U351" s="542">
        <v>286</v>
      </c>
      <c r="V351" s="831"/>
      <c r="W351" s="830"/>
      <c r="AL351" s="15"/>
    </row>
    <row r="352" spans="2:38">
      <c r="B352" s="542">
        <v>287</v>
      </c>
      <c r="C352" s="831"/>
      <c r="D352" s="830"/>
      <c r="S352" s="15"/>
      <c r="U352" s="542">
        <v>287</v>
      </c>
      <c r="V352" s="831"/>
      <c r="W352" s="830"/>
      <c r="AL352" s="15"/>
    </row>
    <row r="353" spans="1:38">
      <c r="B353" s="542">
        <v>288</v>
      </c>
      <c r="C353" s="831"/>
      <c r="D353" s="830"/>
      <c r="S353" s="15"/>
      <c r="U353" s="542">
        <v>288</v>
      </c>
      <c r="V353" s="831"/>
      <c r="W353" s="830"/>
      <c r="AL353" s="15"/>
    </row>
    <row r="354" spans="1:38">
      <c r="B354" s="542">
        <v>289</v>
      </c>
      <c r="C354" s="831"/>
      <c r="D354" s="830"/>
      <c r="S354" s="15"/>
      <c r="U354" s="542">
        <v>289</v>
      </c>
      <c r="V354" s="831"/>
      <c r="W354" s="830"/>
      <c r="AL354" s="15"/>
    </row>
    <row r="355" spans="1:38">
      <c r="B355" s="542">
        <v>290</v>
      </c>
      <c r="C355" s="831"/>
      <c r="D355" s="830"/>
      <c r="S355" s="15"/>
      <c r="U355" s="542">
        <v>290</v>
      </c>
      <c r="V355" s="831"/>
      <c r="W355" s="830"/>
      <c r="AL355" s="15"/>
    </row>
    <row r="356" spans="1:38">
      <c r="B356" s="542">
        <v>291</v>
      </c>
      <c r="C356" s="831"/>
      <c r="D356" s="830"/>
      <c r="S356" s="15"/>
      <c r="U356" s="542">
        <v>291</v>
      </c>
      <c r="V356" s="831"/>
      <c r="W356" s="830"/>
      <c r="AL356" s="15"/>
    </row>
    <row r="357" spans="1:38">
      <c r="B357" s="542">
        <v>292</v>
      </c>
      <c r="C357" s="831"/>
      <c r="D357" s="830"/>
      <c r="S357" s="15"/>
      <c r="U357" s="542">
        <v>292</v>
      </c>
      <c r="V357" s="831"/>
      <c r="W357" s="830"/>
      <c r="AL357" s="15"/>
    </row>
    <row r="358" spans="1:38">
      <c r="B358" s="542">
        <v>293</v>
      </c>
      <c r="C358" s="831"/>
      <c r="D358" s="830"/>
      <c r="S358" s="15"/>
      <c r="U358" s="542">
        <v>293</v>
      </c>
      <c r="V358" s="831"/>
      <c r="W358" s="830"/>
      <c r="AL358" s="15"/>
    </row>
    <row r="359" spans="1:38">
      <c r="B359" s="542">
        <v>294</v>
      </c>
      <c r="C359" s="831"/>
      <c r="D359" s="830"/>
      <c r="S359" s="15"/>
      <c r="U359" s="542">
        <v>294</v>
      </c>
      <c r="V359" s="831"/>
      <c r="W359" s="830"/>
      <c r="AL359" s="15"/>
    </row>
    <row r="360" spans="1:38">
      <c r="B360" s="542">
        <v>295</v>
      </c>
      <c r="C360" s="831"/>
      <c r="D360" s="830"/>
      <c r="S360" s="15"/>
      <c r="U360" s="542">
        <v>295</v>
      </c>
      <c r="V360" s="831"/>
      <c r="W360" s="830"/>
      <c r="AL360" s="15"/>
    </row>
    <row r="361" spans="1:38">
      <c r="B361" s="542">
        <v>296</v>
      </c>
      <c r="C361" s="831"/>
      <c r="D361" s="830"/>
      <c r="S361" s="15"/>
      <c r="U361" s="542">
        <v>296</v>
      </c>
      <c r="V361" s="831"/>
      <c r="W361" s="830"/>
      <c r="AL361" s="15"/>
    </row>
    <row r="362" spans="1:38">
      <c r="B362" s="542">
        <v>297</v>
      </c>
      <c r="C362" s="831"/>
      <c r="D362" s="830"/>
      <c r="S362" s="15"/>
      <c r="U362" s="542">
        <v>297</v>
      </c>
      <c r="V362" s="831"/>
      <c r="W362" s="830"/>
      <c r="AL362" s="15"/>
    </row>
    <row r="363" spans="1:38">
      <c r="B363" s="542">
        <v>298</v>
      </c>
      <c r="C363" s="831"/>
      <c r="D363" s="830"/>
      <c r="S363" s="15"/>
      <c r="U363" s="542">
        <v>298</v>
      </c>
      <c r="V363" s="831"/>
      <c r="W363" s="830"/>
      <c r="AL363" s="15"/>
    </row>
    <row r="364" spans="1:38">
      <c r="B364" s="542">
        <v>299</v>
      </c>
      <c r="C364" s="831"/>
      <c r="D364" s="830"/>
      <c r="S364" s="15"/>
      <c r="U364" s="542">
        <v>299</v>
      </c>
      <c r="V364" s="831"/>
      <c r="W364" s="830"/>
      <c r="AL364" s="15"/>
    </row>
    <row r="365" spans="1:38">
      <c r="B365" s="542">
        <v>300</v>
      </c>
      <c r="C365" s="831"/>
      <c r="D365" s="830"/>
      <c r="S365" s="15"/>
      <c r="U365" s="542">
        <v>300</v>
      </c>
      <c r="V365" s="831"/>
      <c r="W365" s="83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bR6DHniLp7Rklr5ZEb9iFsjzDTMbiB1w/wNy64iYQjx60ZWu3NlGdPQLXl8HBxCY5M4uKbIHt1+gFBm7HNmU0w==" saltValue="nC4Kk0OZToRGP7xjhW7yag=="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1">
    <mergeCell ref="Z47:AA47"/>
    <mergeCell ref="A47:B47"/>
    <mergeCell ref="C47:D47"/>
    <mergeCell ref="E47:F47"/>
    <mergeCell ref="G47:H47"/>
    <mergeCell ref="T47:U47"/>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AG50:AH50"/>
    <mergeCell ref="AG51:AH51"/>
    <mergeCell ref="A50:B50"/>
    <mergeCell ref="C50:D50"/>
    <mergeCell ref="V52:W52"/>
    <mergeCell ref="V51:W51"/>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H65:I65"/>
    <mergeCell ref="T46:U46"/>
    <mergeCell ref="V46:W46"/>
    <mergeCell ref="V47:W47"/>
    <mergeCell ref="X46:Y46"/>
    <mergeCell ref="V53:W53"/>
    <mergeCell ref="X47:Y47"/>
  </mergeCells>
  <phoneticPr fontId="0" type="noConversion"/>
  <conditionalFormatting sqref="C56:D56">
    <cfRule type="expression" dxfId="413" priority="1">
      <formula>$C$56&lt;0.4*$C$57</formula>
    </cfRule>
  </conditionalFormatting>
  <conditionalFormatting sqref="AJ51">
    <cfRule type="cellIs" dxfId="412" priority="2" stopIfTrue="1" operator="greaterThanOrEqual">
      <formula>100</formula>
    </cfRule>
    <cfRule type="cellIs" dxfId="411" priority="3" stopIfTrue="1" operator="lessThan">
      <formula>75</formula>
    </cfRule>
    <cfRule type="cellIs" dxfId="410" priority="4"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zoomScaleNormal="100" zoomScaleSheetLayoutView="100" workbookViewId="0">
      <selection sqref="A1:S1"/>
    </sheetView>
  </sheetViews>
  <sheetFormatPr baseColWidth="10" defaultColWidth="11.46484375" defaultRowHeight="12.75"/>
  <cols>
    <col min="1" max="38" width="5" customWidth="1"/>
  </cols>
  <sheetData>
    <row r="1" spans="1:41" ht="13.15">
      <c r="A1" s="1087" t="s">
        <v>303</v>
      </c>
      <c r="B1" s="1087"/>
      <c r="C1" s="1087"/>
      <c r="D1" s="1087"/>
      <c r="E1" s="1087"/>
      <c r="F1" s="1087"/>
      <c r="G1" s="1087"/>
      <c r="H1" s="1087"/>
      <c r="I1" s="1087"/>
      <c r="J1" s="1087"/>
      <c r="K1" s="1087"/>
      <c r="L1" s="1087"/>
      <c r="M1" s="1087"/>
      <c r="N1" s="1087"/>
      <c r="O1" s="1087"/>
      <c r="P1" s="1087"/>
      <c r="Q1" s="1087"/>
      <c r="R1" s="1087"/>
      <c r="S1" s="1087"/>
      <c r="T1" s="1087" t="s">
        <v>303</v>
      </c>
      <c r="U1" s="1087"/>
      <c r="V1" s="1087"/>
      <c r="W1" s="1087"/>
      <c r="X1" s="1087"/>
      <c r="Y1" s="1087"/>
      <c r="Z1" s="1087"/>
      <c r="AA1" s="1087"/>
      <c r="AB1" s="1087"/>
      <c r="AC1" s="1087"/>
      <c r="AD1" s="1087"/>
      <c r="AE1" s="1087"/>
      <c r="AF1" s="1087"/>
      <c r="AG1" s="1087"/>
      <c r="AH1" s="1087"/>
      <c r="AI1" s="1087"/>
      <c r="AJ1" s="1087"/>
      <c r="AK1" s="1087"/>
      <c r="AL1" s="1087"/>
    </row>
    <row r="2" spans="1:41">
      <c r="AM2" s="162" t="s">
        <v>219</v>
      </c>
      <c r="AN2" s="162"/>
      <c r="AO2" s="162"/>
    </row>
    <row r="3" spans="1:41">
      <c r="A3" t="s">
        <v>39</v>
      </c>
      <c r="D3" s="1157" t="str">
        <f>IF('Cover Sheet'!$D$14&gt;0,'Cover Sheet'!$D$14,"")</f>
        <v>Ecole Centrale Lyon</v>
      </c>
      <c r="E3" s="1157"/>
      <c r="F3" s="1157"/>
      <c r="G3" s="1157"/>
      <c r="H3" s="1157"/>
      <c r="I3" s="1157"/>
      <c r="J3" s="1157"/>
      <c r="K3" t="s">
        <v>40</v>
      </c>
      <c r="O3" s="1157" t="str">
        <f>IF('Cover Sheet'!$O$14&gt;0,'Cover Sheet'!$O$14,"")</f>
        <v>81 FSCH</v>
      </c>
      <c r="P3" s="1157"/>
      <c r="Q3" s="1157"/>
      <c r="R3" s="1157"/>
      <c r="S3" s="1157"/>
      <c r="T3" t="s">
        <v>39</v>
      </c>
      <c r="W3" s="1157" t="str">
        <f>IF('Cover Sheet'!$D$14&gt;0,'Cover Sheet'!$D$14,"")</f>
        <v>Ecole Centrale Lyon</v>
      </c>
      <c r="X3" s="1157"/>
      <c r="Y3" s="1157"/>
      <c r="Z3" s="1157"/>
      <c r="AA3" s="1157"/>
      <c r="AB3" s="1157"/>
      <c r="AC3" s="1157"/>
      <c r="AD3" t="s">
        <v>40</v>
      </c>
      <c r="AH3" s="1157" t="str">
        <f>IF('Cover Sheet'!$O$14&gt;0,'Cover Sheet'!$O$14,"")</f>
        <v>81 FSCH</v>
      </c>
      <c r="AI3" s="1157"/>
      <c r="AJ3" s="1157"/>
      <c r="AK3" s="1157"/>
      <c r="AL3" s="1157"/>
      <c r="AM3" s="685" t="s">
        <v>304</v>
      </c>
    </row>
    <row r="5" spans="1:41" ht="12.75" customHeight="1">
      <c r="A5" s="1211"/>
      <c r="B5" s="1212"/>
      <c r="C5" s="1212"/>
      <c r="D5" s="1212"/>
      <c r="E5" s="1212"/>
      <c r="F5" s="1212"/>
      <c r="G5" s="1212"/>
      <c r="H5" s="1212"/>
      <c r="I5" s="1212"/>
      <c r="J5" s="1212"/>
      <c r="K5" s="1212"/>
      <c r="L5" s="1212"/>
      <c r="M5" s="1212"/>
      <c r="N5" s="1212"/>
      <c r="O5" s="1212"/>
      <c r="P5" s="1212"/>
      <c r="Q5" s="1212"/>
      <c r="R5" s="1212"/>
      <c r="S5" s="1213"/>
      <c r="T5" s="1211"/>
      <c r="U5" s="1212"/>
      <c r="V5" s="1212"/>
      <c r="W5" s="1212"/>
      <c r="X5" s="1212"/>
      <c r="Y5" s="1212"/>
      <c r="Z5" s="1212"/>
      <c r="AA5" s="1212"/>
      <c r="AB5" s="1212"/>
      <c r="AC5" s="1212"/>
      <c r="AD5" s="1212"/>
      <c r="AE5" s="1212"/>
      <c r="AF5" s="1212"/>
      <c r="AG5" s="1212"/>
      <c r="AH5" s="1212"/>
      <c r="AI5" s="1212"/>
      <c r="AJ5" s="1212"/>
      <c r="AK5" s="1212"/>
      <c r="AL5" s="1213"/>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row>
    <row r="12" spans="1:41">
      <c r="A12" s="22"/>
      <c r="B12" s="252"/>
      <c r="C12" s="23"/>
      <c r="D12" s="23"/>
      <c r="E12" s="23"/>
      <c r="F12" s="23"/>
      <c r="G12" s="23"/>
      <c r="H12" s="23"/>
      <c r="I12" s="23"/>
      <c r="J12" s="23"/>
      <c r="K12" s="23"/>
      <c r="L12" s="23"/>
      <c r="M12" s="23"/>
      <c r="N12" s="23"/>
      <c r="O12" s="23"/>
      <c r="P12" s="23"/>
      <c r="Q12" s="23"/>
      <c r="R12" s="23"/>
      <c r="S12" s="24"/>
      <c r="T12" s="22"/>
      <c r="U12" s="252"/>
      <c r="V12" s="23"/>
      <c r="W12" s="23"/>
      <c r="X12" s="23"/>
      <c r="Y12" s="23"/>
      <c r="Z12" s="23"/>
      <c r="AA12" s="23"/>
      <c r="AB12" s="23"/>
      <c r="AC12" s="23"/>
      <c r="AD12" s="23"/>
      <c r="AE12" s="23"/>
      <c r="AF12" s="23"/>
      <c r="AG12" s="23"/>
      <c r="AH12" s="23"/>
      <c r="AI12" s="23"/>
      <c r="AJ12" s="23"/>
      <c r="AK12" s="23"/>
      <c r="AL12" s="24"/>
    </row>
    <row r="13" spans="1:41">
      <c r="A13" s="22"/>
      <c r="B13" s="251" t="s">
        <v>305</v>
      </c>
      <c r="C13" s="23"/>
      <c r="D13" s="23"/>
      <c r="E13" s="23"/>
      <c r="F13" s="23"/>
      <c r="G13" s="28"/>
      <c r="H13" s="23"/>
      <c r="I13" s="23"/>
      <c r="J13" s="23"/>
      <c r="K13" s="23"/>
      <c r="L13" s="23"/>
      <c r="M13" s="23"/>
      <c r="N13" s="23"/>
      <c r="O13" s="23"/>
      <c r="P13" s="23"/>
      <c r="Q13" s="23"/>
      <c r="R13" s="23"/>
      <c r="S13" s="24"/>
      <c r="T13" s="22"/>
      <c r="U13" s="251" t="s">
        <v>306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389"/>
      <c r="H15" s="23"/>
      <c r="I15" s="23"/>
      <c r="J15" s="23"/>
      <c r="K15" s="23"/>
      <c r="L15" s="23"/>
      <c r="M15" s="23"/>
      <c r="N15" s="23"/>
      <c r="O15" s="23"/>
      <c r="P15" s="23"/>
      <c r="Q15" s="23"/>
      <c r="R15" s="23"/>
      <c r="S15" s="24"/>
      <c r="T15" s="22"/>
      <c r="U15" s="23"/>
      <c r="V15" s="23"/>
      <c r="W15" s="23"/>
      <c r="X15" s="23"/>
      <c r="Y15" s="23"/>
      <c r="Z15" s="389"/>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307</v>
      </c>
      <c r="B19" s="6"/>
      <c r="C19" s="6"/>
      <c r="D19" s="6"/>
      <c r="E19" s="6"/>
      <c r="F19" s="6"/>
      <c r="G19" s="6"/>
      <c r="H19" s="6"/>
      <c r="I19" s="6"/>
      <c r="J19" s="6"/>
      <c r="K19" s="6"/>
      <c r="L19" s="6"/>
      <c r="M19" s="6"/>
      <c r="N19" s="6"/>
      <c r="O19" s="6"/>
      <c r="P19" s="6"/>
      <c r="Q19" s="6"/>
      <c r="R19" s="6"/>
      <c r="S19" s="7"/>
      <c r="T19" s="289" t="s">
        <v>308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2"/>
      <c r="B28" s="252"/>
      <c r="C28" s="23"/>
      <c r="D28" s="23"/>
      <c r="E28" s="23"/>
      <c r="F28" s="23"/>
      <c r="G28" s="23"/>
      <c r="H28" s="23"/>
      <c r="I28" s="23"/>
      <c r="J28" s="23"/>
      <c r="K28" s="23"/>
      <c r="L28" s="23"/>
      <c r="M28" s="23"/>
      <c r="N28" s="23"/>
      <c r="O28" s="23"/>
      <c r="P28" s="23"/>
      <c r="Q28" s="23"/>
      <c r="R28" s="23"/>
      <c r="S28" s="24"/>
      <c r="T28" s="22"/>
      <c r="U28" s="252"/>
      <c r="V28" s="23"/>
      <c r="W28" s="23"/>
      <c r="X28" s="23"/>
      <c r="Y28" s="23"/>
      <c r="Z28" s="23"/>
      <c r="AA28" s="23"/>
      <c r="AB28" s="23"/>
      <c r="AC28" s="23"/>
      <c r="AD28" s="23"/>
      <c r="AE28" s="23"/>
      <c r="AF28" s="23"/>
      <c r="AG28" s="23"/>
      <c r="AH28" s="23"/>
      <c r="AI28" s="23"/>
      <c r="AJ28" s="23"/>
      <c r="AK28" s="23"/>
      <c r="AL28" s="24"/>
    </row>
    <row r="29" spans="1:38">
      <c r="A29" s="22"/>
      <c r="B29" s="388" t="s">
        <v>228</v>
      </c>
      <c r="C29" s="23"/>
      <c r="D29" s="23"/>
      <c r="E29" s="23"/>
      <c r="F29" s="23"/>
      <c r="G29" s="23"/>
      <c r="H29" s="23"/>
      <c r="I29" s="23"/>
      <c r="J29" s="23"/>
      <c r="K29" s="23"/>
      <c r="L29" s="23"/>
      <c r="M29" s="23"/>
      <c r="N29" s="23"/>
      <c r="O29" s="23"/>
      <c r="P29" s="23"/>
      <c r="Q29" s="23"/>
      <c r="R29" s="23"/>
      <c r="S29" s="24"/>
      <c r="T29" s="22"/>
      <c r="U29" s="388" t="s">
        <v>228</v>
      </c>
      <c r="V29" s="23"/>
      <c r="W29" s="23"/>
      <c r="X29" s="23"/>
      <c r="Y29" s="23"/>
      <c r="Z29" s="23"/>
      <c r="AA29" s="23"/>
      <c r="AB29" s="23"/>
      <c r="AC29" s="23"/>
      <c r="AD29" s="23"/>
      <c r="AE29" s="23"/>
      <c r="AF29" s="23"/>
      <c r="AG29" s="23"/>
      <c r="AH29" s="23"/>
      <c r="AI29" s="23"/>
      <c r="AJ29" s="23"/>
      <c r="AK29" s="23"/>
      <c r="AL29" s="24"/>
    </row>
    <row r="30" spans="1:38">
      <c r="A30" s="22"/>
      <c r="B30" s="388" t="s">
        <v>229</v>
      </c>
      <c r="C30" s="23"/>
      <c r="D30" s="23"/>
      <c r="E30" s="23"/>
      <c r="F30" s="23"/>
      <c r="G30" s="23"/>
      <c r="H30" s="23"/>
      <c r="I30" s="23"/>
      <c r="J30" s="23"/>
      <c r="K30" s="23"/>
      <c r="L30" s="23"/>
      <c r="M30" s="23"/>
      <c r="N30" s="23"/>
      <c r="O30" s="23"/>
      <c r="P30" s="23"/>
      <c r="Q30" s="23"/>
      <c r="R30" s="23"/>
      <c r="S30" s="24"/>
      <c r="T30" s="22"/>
      <c r="U30" s="388" t="s">
        <v>229</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684"/>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684"/>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89" t="s">
        <v>309</v>
      </c>
      <c r="B45" s="6"/>
      <c r="C45" s="6"/>
      <c r="D45" s="6"/>
      <c r="E45" s="6"/>
      <c r="F45" s="6"/>
      <c r="G45" s="6"/>
      <c r="H45" s="6"/>
      <c r="I45" s="6"/>
      <c r="J45" s="6"/>
      <c r="K45" s="6"/>
      <c r="L45" s="6"/>
      <c r="M45" s="6"/>
      <c r="N45" s="6"/>
      <c r="O45" s="6"/>
      <c r="P45" s="6"/>
      <c r="Q45" s="6"/>
      <c r="R45" s="6"/>
      <c r="S45" s="7"/>
      <c r="T45" s="289" t="s">
        <v>310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311</v>
      </c>
      <c r="B47" s="10"/>
      <c r="C47" s="10"/>
      <c r="D47" s="10"/>
      <c r="E47" s="10"/>
      <c r="F47" s="10"/>
      <c r="G47" s="10"/>
      <c r="H47" s="10"/>
      <c r="I47" s="10"/>
      <c r="J47" s="10"/>
      <c r="K47" s="10"/>
      <c r="L47" s="10"/>
      <c r="M47" s="10"/>
      <c r="N47" s="10"/>
      <c r="O47" s="10"/>
      <c r="P47" s="10"/>
      <c r="Q47" s="10"/>
      <c r="R47" s="10"/>
      <c r="S47" s="11"/>
      <c r="T47" s="9" t="s">
        <v>311</v>
      </c>
      <c r="U47" s="10"/>
      <c r="V47" s="10"/>
      <c r="W47" s="10"/>
      <c r="X47" s="10"/>
      <c r="Y47" s="10"/>
      <c r="Z47" s="10"/>
      <c r="AA47" s="10"/>
      <c r="AB47" s="10"/>
      <c r="AC47" s="10"/>
      <c r="AD47" s="10"/>
      <c r="AE47" s="10"/>
      <c r="AF47" s="10"/>
      <c r="AG47" s="10"/>
      <c r="AH47" s="10"/>
      <c r="AI47" s="10"/>
      <c r="AJ47" s="10"/>
      <c r="AK47" s="10"/>
      <c r="AL47" s="11"/>
    </row>
    <row r="48" spans="1:38" ht="12.75" customHeight="1">
      <c r="A48" s="1187" t="s">
        <v>312</v>
      </c>
      <c r="B48" s="1186"/>
      <c r="C48" s="1227"/>
      <c r="D48" s="1182"/>
      <c r="E48" s="1183"/>
      <c r="F48" s="225" t="s">
        <v>313</v>
      </c>
      <c r="G48" s="592"/>
      <c r="H48" s="8"/>
      <c r="I48" s="10"/>
      <c r="J48" s="10"/>
      <c r="K48" s="10"/>
      <c r="L48" s="10"/>
      <c r="M48" s="10"/>
      <c r="N48" s="10"/>
      <c r="O48" s="10"/>
      <c r="P48" s="10"/>
      <c r="Q48" s="10"/>
      <c r="R48" s="10"/>
      <c r="S48" s="11"/>
      <c r="T48" s="1187" t="s">
        <v>312</v>
      </c>
      <c r="U48" s="1186"/>
      <c r="V48" s="1227"/>
      <c r="W48" s="1225"/>
      <c r="X48" s="1226"/>
      <c r="Y48" s="225" t="s">
        <v>314</v>
      </c>
      <c r="Z48" s="592"/>
      <c r="AA48" s="8"/>
      <c r="AB48" s="10"/>
      <c r="AC48" s="10"/>
      <c r="AD48" s="10"/>
      <c r="AE48" s="10"/>
      <c r="AF48" s="10"/>
      <c r="AG48" s="10"/>
      <c r="AH48" s="10"/>
      <c r="AI48" s="10"/>
      <c r="AJ48" s="10"/>
      <c r="AK48" s="10"/>
      <c r="AL48" s="11"/>
    </row>
    <row r="49" spans="1:38" ht="12.75" customHeight="1">
      <c r="A49" s="1187" t="s">
        <v>315</v>
      </c>
      <c r="B49" s="1186"/>
      <c r="C49" s="1186"/>
      <c r="D49" s="1182"/>
      <c r="E49" s="1183"/>
      <c r="F49" s="1223" t="str">
        <f>IF(D49&gt;=4000,"PASS","FAIL")</f>
        <v>FAIL</v>
      </c>
      <c r="G49" s="1224"/>
      <c r="H49" s="8"/>
      <c r="I49" s="10"/>
      <c r="J49" s="10"/>
      <c r="K49" s="10"/>
      <c r="L49" s="10"/>
      <c r="M49" s="10"/>
      <c r="N49" s="10"/>
      <c r="O49" s="10"/>
      <c r="P49" s="10"/>
      <c r="Q49" s="10"/>
      <c r="R49" s="10"/>
      <c r="S49" s="11"/>
      <c r="T49" s="1187" t="s">
        <v>315</v>
      </c>
      <c r="U49" s="1186"/>
      <c r="V49" s="1186"/>
      <c r="W49" s="1225"/>
      <c r="X49" s="1226"/>
      <c r="Y49" s="1223" t="str">
        <f>IF(W49&gt;=7500,"PASS","FAIL")</f>
        <v>FAIL</v>
      </c>
      <c r="Z49" s="1224"/>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316</v>
      </c>
      <c r="B51" s="10"/>
      <c r="C51" s="10"/>
      <c r="D51" s="10"/>
      <c r="E51" s="10"/>
      <c r="F51" s="10"/>
      <c r="G51" s="10"/>
      <c r="H51" s="10"/>
      <c r="I51" s="10"/>
      <c r="J51" s="10"/>
      <c r="K51" s="10"/>
      <c r="L51" s="10"/>
      <c r="M51" s="10"/>
      <c r="N51" s="10"/>
      <c r="O51" s="10"/>
      <c r="P51" s="10"/>
      <c r="Q51" s="10"/>
      <c r="R51" s="10"/>
      <c r="S51" s="11"/>
      <c r="T51" s="86" t="s">
        <v>316</v>
      </c>
      <c r="U51" s="10"/>
      <c r="V51" s="10"/>
      <c r="W51" s="10"/>
      <c r="X51" s="10"/>
      <c r="Y51" s="10"/>
      <c r="Z51" s="10"/>
      <c r="AA51" s="10"/>
      <c r="AB51" s="10"/>
      <c r="AC51" s="10"/>
      <c r="AD51" s="10"/>
      <c r="AE51" s="10"/>
      <c r="AF51" s="10"/>
      <c r="AG51" s="10"/>
      <c r="AH51" s="10"/>
      <c r="AI51" s="10"/>
      <c r="AJ51" s="10"/>
      <c r="AK51" s="10"/>
      <c r="AL51" s="11"/>
    </row>
    <row r="52" spans="1:38" ht="15.75" customHeight="1">
      <c r="B52" s="1204" t="s">
        <v>317</v>
      </c>
      <c r="C52" s="1231"/>
      <c r="D52" s="1172"/>
      <c r="E52" s="1173"/>
      <c r="F52" s="8"/>
      <c r="G52" s="8"/>
      <c r="H52" s="8"/>
      <c r="I52" s="8"/>
      <c r="J52" s="8"/>
      <c r="K52" s="8"/>
      <c r="L52" s="8"/>
      <c r="M52" s="8"/>
      <c r="N52" s="8"/>
      <c r="O52" s="10"/>
      <c r="P52" s="10"/>
      <c r="Q52" s="10"/>
      <c r="R52" s="10"/>
      <c r="S52" s="11"/>
      <c r="U52" s="1204" t="s">
        <v>317</v>
      </c>
      <c r="V52" s="1231"/>
      <c r="W52" s="1172"/>
      <c r="X52" s="1173"/>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228" t="s">
        <v>318</v>
      </c>
      <c r="B54" s="1229"/>
      <c r="C54" s="1230"/>
      <c r="D54" s="1221">
        <f>IF(D52&gt;0,D48/(PI()*25*D52),0)</f>
        <v>0</v>
      </c>
      <c r="E54" s="1222"/>
      <c r="F54" s="8" t="s">
        <v>319</v>
      </c>
      <c r="G54" s="8"/>
      <c r="H54" s="8"/>
      <c r="I54" s="8"/>
      <c r="J54" s="8"/>
      <c r="K54" s="8"/>
      <c r="L54" s="8"/>
      <c r="M54" s="8"/>
      <c r="N54" s="8"/>
      <c r="O54" s="8"/>
      <c r="P54" s="10"/>
      <c r="Q54" s="10"/>
      <c r="R54" s="10"/>
      <c r="S54" s="11"/>
      <c r="T54" s="1228" t="s">
        <v>318</v>
      </c>
      <c r="U54" s="1229"/>
      <c r="V54" s="1230"/>
      <c r="W54" s="1221">
        <f>IF(W52&gt;0,W48/(PI()*25*W52),0)</f>
        <v>0</v>
      </c>
      <c r="X54" s="1222"/>
      <c r="Y54" s="8" t="s">
        <v>319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39" t="s">
        <v>275</v>
      </c>
      <c r="S56" s="15"/>
      <c r="T56" s="539" t="s">
        <v>275</v>
      </c>
      <c r="AL56" s="15"/>
    </row>
    <row r="57" spans="1:38">
      <c r="A57" s="8" t="s">
        <v>276</v>
      </c>
      <c r="S57" s="15"/>
      <c r="T57" s="8" t="s">
        <v>276</v>
      </c>
      <c r="AL57" s="15"/>
    </row>
    <row r="58" spans="1:38">
      <c r="A58" s="8" t="s">
        <v>277</v>
      </c>
      <c r="B58" s="104"/>
      <c r="C58" s="104"/>
      <c r="D58" s="104"/>
      <c r="E58" s="104"/>
      <c r="F58" s="104"/>
      <c r="G58" s="104"/>
      <c r="H58" s="104"/>
      <c r="I58" s="104"/>
      <c r="J58" s="104"/>
      <c r="K58" s="104"/>
      <c r="L58" s="104"/>
      <c r="M58" s="104"/>
      <c r="N58" s="104"/>
      <c r="O58" s="104"/>
      <c r="P58" s="104"/>
      <c r="Q58" s="104"/>
      <c r="R58" s="104"/>
      <c r="S58" s="147"/>
      <c r="T58" s="8" t="s">
        <v>277</v>
      </c>
      <c r="U58" s="104"/>
      <c r="V58" s="104"/>
      <c r="W58" s="104"/>
      <c r="X58" s="104"/>
      <c r="Y58" s="104"/>
      <c r="Z58" s="104"/>
      <c r="AA58" s="104"/>
      <c r="AB58" s="104"/>
      <c r="AC58" s="104"/>
      <c r="AD58" s="104"/>
      <c r="AE58" s="104"/>
      <c r="AF58" s="104"/>
      <c r="AG58" s="104"/>
      <c r="AH58" s="104"/>
      <c r="AI58" s="104"/>
      <c r="AJ58" s="104"/>
      <c r="AK58" s="104"/>
      <c r="AL58" s="147"/>
    </row>
    <row r="59" spans="1:38">
      <c r="A59" s="146"/>
      <c r="B59" s="104"/>
      <c r="C59" s="104"/>
      <c r="D59" s="104"/>
      <c r="E59" s="104"/>
      <c r="F59" s="104"/>
      <c r="G59" s="104"/>
      <c r="H59" s="104"/>
      <c r="I59" s="104"/>
      <c r="J59" s="104"/>
      <c r="K59" s="104"/>
      <c r="L59" s="104"/>
      <c r="M59" s="104"/>
      <c r="N59" s="104"/>
      <c r="O59" s="104"/>
      <c r="P59" s="104"/>
      <c r="Q59" s="104"/>
      <c r="R59" s="104"/>
      <c r="S59" s="147"/>
      <c r="T59" s="146"/>
      <c r="U59" s="104"/>
      <c r="V59" s="104"/>
      <c r="W59" s="104"/>
      <c r="X59" s="104"/>
      <c r="Y59" s="104"/>
      <c r="Z59" s="104"/>
      <c r="AA59" s="104"/>
      <c r="AB59" s="104"/>
      <c r="AC59" s="104"/>
      <c r="AD59" s="104"/>
      <c r="AE59" s="104"/>
      <c r="AF59" s="104"/>
      <c r="AG59" s="104"/>
      <c r="AH59" s="104"/>
      <c r="AI59" s="104"/>
      <c r="AJ59" s="104"/>
      <c r="AK59" s="104"/>
      <c r="AL59" s="147"/>
    </row>
    <row r="60" spans="1:38" ht="23.25">
      <c r="A60" s="146"/>
      <c r="B60" s="541"/>
      <c r="C60" s="737" t="s">
        <v>278</v>
      </c>
      <c r="D60" s="738" t="s">
        <v>279</v>
      </c>
      <c r="H60" s="1219"/>
      <c r="I60" s="1219"/>
      <c r="S60" s="15"/>
      <c r="T60" s="4"/>
      <c r="U60" s="541"/>
      <c r="V60" s="737" t="s">
        <v>278</v>
      </c>
      <c r="W60" s="738" t="s">
        <v>279</v>
      </c>
      <c r="AA60" s="1219"/>
      <c r="AB60" s="1219"/>
      <c r="AL60" s="15"/>
    </row>
    <row r="61" spans="1:38" ht="14.25">
      <c r="A61" s="146"/>
      <c r="B61" s="542">
        <v>1</v>
      </c>
      <c r="C61" s="824"/>
      <c r="D61" s="825"/>
      <c r="G61" s="514"/>
      <c r="H61" s="540"/>
      <c r="I61" s="1018"/>
      <c r="J61" s="1019"/>
      <c r="K61" s="1019"/>
      <c r="L61" s="1019"/>
      <c r="M61" s="1019"/>
      <c r="S61" s="15"/>
      <c r="T61" s="4"/>
      <c r="U61" s="542">
        <v>1</v>
      </c>
      <c r="V61" s="824"/>
      <c r="W61" s="825"/>
      <c r="Z61" s="514"/>
      <c r="AA61" s="540"/>
      <c r="AB61" s="540"/>
      <c r="AL61" s="15"/>
    </row>
    <row r="62" spans="1:38">
      <c r="A62" s="146"/>
      <c r="B62" s="542">
        <v>2</v>
      </c>
      <c r="C62" s="826"/>
      <c r="D62" s="827"/>
      <c r="G62" s="1016"/>
      <c r="I62" s="1019"/>
      <c r="J62" s="1019"/>
      <c r="K62" s="1019"/>
      <c r="L62" s="1019"/>
      <c r="M62" s="1019"/>
      <c r="S62" s="15"/>
      <c r="T62" s="4"/>
      <c r="U62" s="542">
        <v>2</v>
      </c>
      <c r="V62" s="826"/>
      <c r="W62" s="827"/>
      <c r="Z62" s="1016"/>
      <c r="AL62" s="15"/>
    </row>
    <row r="63" spans="1:38">
      <c r="A63" s="146"/>
      <c r="B63" s="542">
        <v>3</v>
      </c>
      <c r="C63" s="826"/>
      <c r="D63" s="827"/>
      <c r="G63" s="1016"/>
      <c r="S63" s="15"/>
      <c r="T63" s="4"/>
      <c r="U63" s="542">
        <v>3</v>
      </c>
      <c r="V63" s="826"/>
      <c r="W63" s="827"/>
      <c r="Z63" s="1016"/>
      <c r="AL63" s="15"/>
    </row>
    <row r="64" spans="1:38">
      <c r="A64" s="146"/>
      <c r="B64" s="542">
        <v>4</v>
      </c>
      <c r="C64" s="826"/>
      <c r="D64" s="827"/>
      <c r="S64" s="15"/>
      <c r="T64" s="4"/>
      <c r="U64" s="542">
        <v>4</v>
      </c>
      <c r="V64" s="826"/>
      <c r="W64" s="827"/>
      <c r="AL64" s="15"/>
    </row>
    <row r="65" spans="1:38">
      <c r="A65" s="146"/>
      <c r="B65" s="542">
        <v>5</v>
      </c>
      <c r="C65" s="826"/>
      <c r="D65" s="827"/>
      <c r="S65" s="15"/>
      <c r="T65" s="4"/>
      <c r="U65" s="542">
        <v>5</v>
      </c>
      <c r="V65" s="826"/>
      <c r="W65" s="827"/>
      <c r="AL65" s="15"/>
    </row>
    <row r="66" spans="1:38">
      <c r="A66" s="146"/>
      <c r="B66" s="542">
        <v>6</v>
      </c>
      <c r="C66" s="826"/>
      <c r="D66" s="827"/>
      <c r="S66" s="15"/>
      <c r="T66" s="4"/>
      <c r="U66" s="542">
        <v>6</v>
      </c>
      <c r="V66" s="826"/>
      <c r="W66" s="827"/>
      <c r="AL66" s="15"/>
    </row>
    <row r="67" spans="1:38">
      <c r="A67" s="146"/>
      <c r="B67" s="542">
        <v>7</v>
      </c>
      <c r="C67" s="826"/>
      <c r="D67" s="827"/>
      <c r="S67" s="15"/>
      <c r="T67" s="4"/>
      <c r="U67" s="542">
        <v>7</v>
      </c>
      <c r="V67" s="826"/>
      <c r="W67" s="827"/>
      <c r="AL67" s="15"/>
    </row>
    <row r="68" spans="1:38">
      <c r="A68" s="146"/>
      <c r="B68" s="542">
        <v>8</v>
      </c>
      <c r="C68" s="826"/>
      <c r="D68" s="827"/>
      <c r="S68" s="15"/>
      <c r="T68" s="4"/>
      <c r="U68" s="542">
        <v>8</v>
      </c>
      <c r="V68" s="826"/>
      <c r="W68" s="827"/>
      <c r="AL68" s="15"/>
    </row>
    <row r="69" spans="1:38">
      <c r="A69" s="146"/>
      <c r="B69" s="542">
        <v>9</v>
      </c>
      <c r="C69" s="826"/>
      <c r="D69" s="827"/>
      <c r="S69" s="15"/>
      <c r="T69" s="4"/>
      <c r="U69" s="542">
        <v>9</v>
      </c>
      <c r="V69" s="826"/>
      <c r="W69" s="827"/>
      <c r="AL69" s="15"/>
    </row>
    <row r="70" spans="1:38">
      <c r="A70" s="146"/>
      <c r="B70" s="542">
        <v>10</v>
      </c>
      <c r="C70" s="826"/>
      <c r="D70" s="827"/>
      <c r="S70" s="15"/>
      <c r="T70" s="4"/>
      <c r="U70" s="542">
        <v>10</v>
      </c>
      <c r="V70" s="826"/>
      <c r="W70" s="827"/>
      <c r="AL70" s="15"/>
    </row>
    <row r="71" spans="1:38">
      <c r="A71" s="146"/>
      <c r="B71" s="542">
        <v>11</v>
      </c>
      <c r="C71" s="826"/>
      <c r="D71" s="827"/>
      <c r="S71" s="15"/>
      <c r="T71" s="4"/>
      <c r="U71" s="542">
        <v>11</v>
      </c>
      <c r="V71" s="826"/>
      <c r="W71" s="827"/>
      <c r="AL71" s="15"/>
    </row>
    <row r="72" spans="1:38">
      <c r="A72" s="146"/>
      <c r="B72" s="542">
        <v>12</v>
      </c>
      <c r="C72" s="826"/>
      <c r="D72" s="827"/>
      <c r="S72" s="15"/>
      <c r="T72" s="4"/>
      <c r="U72" s="542">
        <v>12</v>
      </c>
      <c r="V72" s="826"/>
      <c r="W72" s="827"/>
      <c r="AL72" s="15"/>
    </row>
    <row r="73" spans="1:38">
      <c r="A73" s="146"/>
      <c r="B73" s="542">
        <v>13</v>
      </c>
      <c r="C73" s="826"/>
      <c r="D73" s="827"/>
      <c r="S73" s="15"/>
      <c r="T73" s="4"/>
      <c r="U73" s="542">
        <v>13</v>
      </c>
      <c r="V73" s="826"/>
      <c r="W73" s="827"/>
      <c r="AL73" s="15"/>
    </row>
    <row r="74" spans="1:38">
      <c r="A74" s="146"/>
      <c r="B74" s="542">
        <v>14</v>
      </c>
      <c r="C74" s="826"/>
      <c r="D74" s="827"/>
      <c r="S74" s="15"/>
      <c r="T74" s="4"/>
      <c r="U74" s="542">
        <v>14</v>
      </c>
      <c r="V74" s="826"/>
      <c r="W74" s="827"/>
      <c r="AL74" s="15"/>
    </row>
    <row r="75" spans="1:38">
      <c r="A75" s="146"/>
      <c r="B75" s="542">
        <v>15</v>
      </c>
      <c r="C75" s="826"/>
      <c r="D75" s="827"/>
      <c r="S75" s="15"/>
      <c r="T75" s="4"/>
      <c r="U75" s="542">
        <v>15</v>
      </c>
      <c r="V75" s="826"/>
      <c r="W75" s="827"/>
      <c r="AL75" s="15"/>
    </row>
    <row r="76" spans="1:38">
      <c r="A76" s="146"/>
      <c r="B76" s="542">
        <v>16</v>
      </c>
      <c r="C76" s="826"/>
      <c r="D76" s="827"/>
      <c r="S76" s="15"/>
      <c r="T76" s="4"/>
      <c r="U76" s="542">
        <v>16</v>
      </c>
      <c r="V76" s="826"/>
      <c r="W76" s="827"/>
      <c r="AL76" s="15"/>
    </row>
    <row r="77" spans="1:38">
      <c r="A77" s="146"/>
      <c r="B77" s="542">
        <v>17</v>
      </c>
      <c r="C77" s="826"/>
      <c r="D77" s="827"/>
      <c r="S77" s="15"/>
      <c r="T77" s="4"/>
      <c r="U77" s="542">
        <v>17</v>
      </c>
      <c r="V77" s="826"/>
      <c r="W77" s="827"/>
      <c r="AL77" s="15"/>
    </row>
    <row r="78" spans="1:38">
      <c r="A78" s="146"/>
      <c r="B78" s="542">
        <v>18</v>
      </c>
      <c r="C78" s="826"/>
      <c r="D78" s="827"/>
      <c r="S78" s="15"/>
      <c r="T78" s="4"/>
      <c r="U78" s="542">
        <v>18</v>
      </c>
      <c r="V78" s="826"/>
      <c r="W78" s="827"/>
      <c r="AL78" s="15"/>
    </row>
    <row r="79" spans="1:38">
      <c r="A79" s="146"/>
      <c r="B79" s="542">
        <v>19</v>
      </c>
      <c r="C79" s="826"/>
      <c r="D79" s="827"/>
      <c r="S79" s="15"/>
      <c r="T79" s="4"/>
      <c r="U79" s="542">
        <v>19</v>
      </c>
      <c r="V79" s="826"/>
      <c r="W79" s="827"/>
      <c r="AL79" s="15"/>
    </row>
    <row r="80" spans="1:38">
      <c r="A80" s="146"/>
      <c r="B80" s="542">
        <v>20</v>
      </c>
      <c r="C80" s="826"/>
      <c r="D80" s="827"/>
      <c r="S80" s="15"/>
      <c r="T80" s="4"/>
      <c r="U80" s="542">
        <v>20</v>
      </c>
      <c r="V80" s="826"/>
      <c r="W80" s="827"/>
      <c r="AL80" s="15"/>
    </row>
    <row r="81" spans="1:38">
      <c r="A81" s="146"/>
      <c r="B81" s="542">
        <v>21</v>
      </c>
      <c r="C81" s="826"/>
      <c r="D81" s="827"/>
      <c r="S81" s="15"/>
      <c r="T81" s="4"/>
      <c r="U81" s="542">
        <v>21</v>
      </c>
      <c r="V81" s="826"/>
      <c r="W81" s="827"/>
      <c r="AL81" s="15"/>
    </row>
    <row r="82" spans="1:38">
      <c r="A82" s="146"/>
      <c r="B82" s="542">
        <v>22</v>
      </c>
      <c r="C82" s="826"/>
      <c r="D82" s="827"/>
      <c r="S82" s="15"/>
      <c r="T82" s="4"/>
      <c r="U82" s="542">
        <v>22</v>
      </c>
      <c r="V82" s="826"/>
      <c r="W82" s="827"/>
      <c r="AL82" s="15"/>
    </row>
    <row r="83" spans="1:38">
      <c r="A83" s="146"/>
      <c r="B83" s="542">
        <v>23</v>
      </c>
      <c r="C83" s="826"/>
      <c r="D83" s="827"/>
      <c r="S83" s="15"/>
      <c r="T83" s="4"/>
      <c r="U83" s="542">
        <v>23</v>
      </c>
      <c r="V83" s="826"/>
      <c r="W83" s="827"/>
      <c r="AL83" s="15"/>
    </row>
    <row r="84" spans="1:38">
      <c r="A84" s="146"/>
      <c r="B84" s="542">
        <v>24</v>
      </c>
      <c r="C84" s="826"/>
      <c r="D84" s="827"/>
      <c r="S84" s="15"/>
      <c r="T84" s="4"/>
      <c r="U84" s="542">
        <v>24</v>
      </c>
      <c r="V84" s="826"/>
      <c r="W84" s="827"/>
      <c r="AL84" s="15"/>
    </row>
    <row r="85" spans="1:38">
      <c r="A85" s="146"/>
      <c r="B85" s="542">
        <v>25</v>
      </c>
      <c r="C85" s="826"/>
      <c r="D85" s="827"/>
      <c r="S85" s="15"/>
      <c r="T85" s="4"/>
      <c r="U85" s="542">
        <v>25</v>
      </c>
      <c r="V85" s="826"/>
      <c r="W85" s="827"/>
      <c r="AL85" s="15"/>
    </row>
    <row r="86" spans="1:38">
      <c r="A86" s="146"/>
      <c r="B86" s="542">
        <v>26</v>
      </c>
      <c r="C86" s="826"/>
      <c r="D86" s="827"/>
      <c r="S86" s="15"/>
      <c r="T86" s="4"/>
      <c r="U86" s="542">
        <v>26</v>
      </c>
      <c r="V86" s="826"/>
      <c r="W86" s="827"/>
      <c r="AL86" s="15"/>
    </row>
    <row r="87" spans="1:38">
      <c r="A87" s="146"/>
      <c r="B87" s="542">
        <v>27</v>
      </c>
      <c r="C87" s="826"/>
      <c r="D87" s="827"/>
      <c r="S87" s="15"/>
      <c r="T87" s="4"/>
      <c r="U87" s="542">
        <v>27</v>
      </c>
      <c r="V87" s="826"/>
      <c r="W87" s="827"/>
      <c r="AL87" s="15"/>
    </row>
    <row r="88" spans="1:38">
      <c r="A88" s="146"/>
      <c r="B88" s="542">
        <v>28</v>
      </c>
      <c r="C88" s="826"/>
      <c r="D88" s="827"/>
      <c r="S88" s="15"/>
      <c r="T88" s="4"/>
      <c r="U88" s="542">
        <v>28</v>
      </c>
      <c r="V88" s="826"/>
      <c r="W88" s="827"/>
      <c r="AL88" s="15"/>
    </row>
    <row r="89" spans="1:38">
      <c r="A89" s="146"/>
      <c r="B89" s="542">
        <v>29</v>
      </c>
      <c r="C89" s="826"/>
      <c r="D89" s="827"/>
      <c r="S89" s="15"/>
      <c r="T89" s="4"/>
      <c r="U89" s="542">
        <v>29</v>
      </c>
      <c r="V89" s="826"/>
      <c r="W89" s="827"/>
      <c r="AL89" s="15"/>
    </row>
    <row r="90" spans="1:38">
      <c r="A90" s="146"/>
      <c r="B90" s="542">
        <v>30</v>
      </c>
      <c r="C90" s="826"/>
      <c r="D90" s="827"/>
      <c r="S90" s="15"/>
      <c r="T90" s="4"/>
      <c r="U90" s="542">
        <v>30</v>
      </c>
      <c r="V90" s="826"/>
      <c r="W90" s="827"/>
      <c r="AL90" s="15"/>
    </row>
    <row r="91" spans="1:38">
      <c r="A91" s="146"/>
      <c r="B91" s="542">
        <v>31</v>
      </c>
      <c r="C91" s="826"/>
      <c r="D91" s="827"/>
      <c r="S91" s="15"/>
      <c r="T91" s="4"/>
      <c r="U91" s="542">
        <v>31</v>
      </c>
      <c r="V91" s="826"/>
      <c r="W91" s="827"/>
      <c r="AL91" s="15"/>
    </row>
    <row r="92" spans="1:38">
      <c r="A92" s="146"/>
      <c r="B92" s="542">
        <v>32</v>
      </c>
      <c r="C92" s="826"/>
      <c r="D92" s="827"/>
      <c r="S92" s="15"/>
      <c r="T92" s="4"/>
      <c r="U92" s="542">
        <v>32</v>
      </c>
      <c r="V92" s="826"/>
      <c r="W92" s="827"/>
      <c r="AL92" s="15"/>
    </row>
    <row r="93" spans="1:38">
      <c r="A93" s="146"/>
      <c r="B93" s="542">
        <v>33</v>
      </c>
      <c r="C93" s="826"/>
      <c r="D93" s="827"/>
      <c r="S93" s="15"/>
      <c r="T93" s="4"/>
      <c r="U93" s="542">
        <v>33</v>
      </c>
      <c r="V93" s="826"/>
      <c r="W93" s="827"/>
      <c r="AL93" s="15"/>
    </row>
    <row r="94" spans="1:38">
      <c r="A94" s="146"/>
      <c r="B94" s="542">
        <v>34</v>
      </c>
      <c r="C94" s="826"/>
      <c r="D94" s="827"/>
      <c r="S94" s="15"/>
      <c r="T94" s="4"/>
      <c r="U94" s="542">
        <v>34</v>
      </c>
      <c r="V94" s="826"/>
      <c r="W94" s="827"/>
      <c r="AL94" s="15"/>
    </row>
    <row r="95" spans="1:38">
      <c r="A95" s="146"/>
      <c r="B95" s="542">
        <v>35</v>
      </c>
      <c r="C95" s="826"/>
      <c r="D95" s="827"/>
      <c r="S95" s="15"/>
      <c r="T95" s="4"/>
      <c r="U95" s="542">
        <v>35</v>
      </c>
      <c r="V95" s="826"/>
      <c r="W95" s="827"/>
      <c r="AL95" s="15"/>
    </row>
    <row r="96" spans="1:38">
      <c r="A96" s="146"/>
      <c r="B96" s="542">
        <v>36</v>
      </c>
      <c r="C96" s="826"/>
      <c r="D96" s="827"/>
      <c r="S96" s="15"/>
      <c r="T96" s="4"/>
      <c r="U96" s="542">
        <v>36</v>
      </c>
      <c r="V96" s="826"/>
      <c r="W96" s="827"/>
      <c r="AL96" s="15"/>
    </row>
    <row r="97" spans="1:38">
      <c r="A97" s="146"/>
      <c r="B97" s="542">
        <v>37</v>
      </c>
      <c r="C97" s="826"/>
      <c r="D97" s="827"/>
      <c r="S97" s="15"/>
      <c r="T97" s="4"/>
      <c r="U97" s="542">
        <v>37</v>
      </c>
      <c r="V97" s="826"/>
      <c r="W97" s="827"/>
      <c r="AL97" s="15"/>
    </row>
    <row r="98" spans="1:38">
      <c r="A98" s="146"/>
      <c r="B98" s="542">
        <v>38</v>
      </c>
      <c r="C98" s="826"/>
      <c r="D98" s="827"/>
      <c r="S98" s="15"/>
      <c r="T98" s="4"/>
      <c r="U98" s="542">
        <v>38</v>
      </c>
      <c r="V98" s="826"/>
      <c r="W98" s="827"/>
      <c r="AL98" s="15"/>
    </row>
    <row r="99" spans="1:38">
      <c r="A99" s="146"/>
      <c r="B99" s="542">
        <v>39</v>
      </c>
      <c r="C99" s="826"/>
      <c r="D99" s="827"/>
      <c r="S99" s="15"/>
      <c r="T99" s="4"/>
      <c r="U99" s="542">
        <v>39</v>
      </c>
      <c r="V99" s="826"/>
      <c r="W99" s="827"/>
      <c r="AL99" s="15"/>
    </row>
    <row r="100" spans="1:38">
      <c r="A100" s="146"/>
      <c r="B100" s="542">
        <v>40</v>
      </c>
      <c r="C100" s="826"/>
      <c r="D100" s="827"/>
      <c r="S100" s="15"/>
      <c r="T100" s="4"/>
      <c r="U100" s="542">
        <v>40</v>
      </c>
      <c r="V100" s="826"/>
      <c r="W100" s="827"/>
      <c r="AL100" s="15"/>
    </row>
    <row r="101" spans="1:38">
      <c r="A101" s="146"/>
      <c r="B101" s="542">
        <v>41</v>
      </c>
      <c r="C101" s="826"/>
      <c r="D101" s="827"/>
      <c r="S101" s="15"/>
      <c r="T101" s="4"/>
      <c r="U101" s="542">
        <v>41</v>
      </c>
      <c r="V101" s="826"/>
      <c r="W101" s="827"/>
      <c r="AL101" s="15"/>
    </row>
    <row r="102" spans="1:38">
      <c r="A102" s="146"/>
      <c r="B102" s="542">
        <v>42</v>
      </c>
      <c r="C102" s="826"/>
      <c r="D102" s="827"/>
      <c r="S102" s="15"/>
      <c r="T102" s="4"/>
      <c r="U102" s="542">
        <v>42</v>
      </c>
      <c r="V102" s="826"/>
      <c r="W102" s="827"/>
      <c r="AL102" s="15"/>
    </row>
    <row r="103" spans="1:38">
      <c r="A103" s="146"/>
      <c r="B103" s="542">
        <v>43</v>
      </c>
      <c r="C103" s="826"/>
      <c r="D103" s="827"/>
      <c r="S103" s="15"/>
      <c r="T103" s="4"/>
      <c r="U103" s="542">
        <v>43</v>
      </c>
      <c r="V103" s="826"/>
      <c r="W103" s="827"/>
      <c r="AL103" s="15"/>
    </row>
    <row r="104" spans="1:38">
      <c r="A104" s="146"/>
      <c r="B104" s="542">
        <v>44</v>
      </c>
      <c r="C104" s="826"/>
      <c r="D104" s="827"/>
      <c r="S104" s="15"/>
      <c r="T104" s="4"/>
      <c r="U104" s="542">
        <v>44</v>
      </c>
      <c r="V104" s="826"/>
      <c r="W104" s="827"/>
      <c r="AL104" s="15"/>
    </row>
    <row r="105" spans="1:38">
      <c r="A105" s="146"/>
      <c r="B105" s="542">
        <v>45</v>
      </c>
      <c r="C105" s="826"/>
      <c r="D105" s="827"/>
      <c r="S105" s="15"/>
      <c r="T105" s="4"/>
      <c r="U105" s="542">
        <v>45</v>
      </c>
      <c r="V105" s="826"/>
      <c r="W105" s="827"/>
      <c r="AL105" s="15"/>
    </row>
    <row r="106" spans="1:38">
      <c r="A106" s="146"/>
      <c r="B106" s="542">
        <v>46</v>
      </c>
      <c r="C106" s="826"/>
      <c r="D106" s="827"/>
      <c r="S106" s="15"/>
      <c r="T106" s="4"/>
      <c r="U106" s="542">
        <v>46</v>
      </c>
      <c r="V106" s="826"/>
      <c r="W106" s="827"/>
      <c r="AL106" s="15"/>
    </row>
    <row r="107" spans="1:38">
      <c r="A107" s="146"/>
      <c r="B107" s="542">
        <v>47</v>
      </c>
      <c r="C107" s="826"/>
      <c r="D107" s="827"/>
      <c r="S107" s="15"/>
      <c r="T107" s="4"/>
      <c r="U107" s="542">
        <v>47</v>
      </c>
      <c r="V107" s="826"/>
      <c r="W107" s="827"/>
      <c r="AL107" s="15"/>
    </row>
    <row r="108" spans="1:38">
      <c r="A108" s="146"/>
      <c r="B108" s="542">
        <v>48</v>
      </c>
      <c r="C108" s="826"/>
      <c r="D108" s="827"/>
      <c r="S108" s="15"/>
      <c r="T108" s="4"/>
      <c r="U108" s="542">
        <v>48</v>
      </c>
      <c r="V108" s="826"/>
      <c r="W108" s="827"/>
      <c r="AL108" s="15"/>
    </row>
    <row r="109" spans="1:38">
      <c r="A109" s="146"/>
      <c r="B109" s="542">
        <v>49</v>
      </c>
      <c r="C109" s="826"/>
      <c r="D109" s="827"/>
      <c r="S109" s="15"/>
      <c r="T109" s="4"/>
      <c r="U109" s="542">
        <v>49</v>
      </c>
      <c r="V109" s="826"/>
      <c r="W109" s="827"/>
      <c r="AL109" s="15"/>
    </row>
    <row r="110" spans="1:38">
      <c r="A110" s="146"/>
      <c r="B110" s="542">
        <v>50</v>
      </c>
      <c r="C110" s="826"/>
      <c r="D110" s="827"/>
      <c r="S110" s="15"/>
      <c r="T110" s="4"/>
      <c r="U110" s="542">
        <v>50</v>
      </c>
      <c r="V110" s="826"/>
      <c r="W110" s="827"/>
      <c r="AL110" s="15"/>
    </row>
    <row r="111" spans="1:38">
      <c r="A111" s="146"/>
      <c r="B111" s="542">
        <v>51</v>
      </c>
      <c r="C111" s="826"/>
      <c r="D111" s="827"/>
      <c r="S111" s="15"/>
      <c r="T111" s="4"/>
      <c r="U111" s="542">
        <v>51</v>
      </c>
      <c r="V111" s="826"/>
      <c r="W111" s="827"/>
      <c r="AL111" s="15"/>
    </row>
    <row r="112" spans="1:38">
      <c r="A112" s="146"/>
      <c r="B112" s="542">
        <v>52</v>
      </c>
      <c r="C112" s="826"/>
      <c r="D112" s="827"/>
      <c r="S112" s="15"/>
      <c r="T112" s="4"/>
      <c r="U112" s="542">
        <v>52</v>
      </c>
      <c r="V112" s="826"/>
      <c r="W112" s="827"/>
      <c r="AL112" s="15"/>
    </row>
    <row r="113" spans="1:38">
      <c r="A113" s="146"/>
      <c r="B113" s="542">
        <v>53</v>
      </c>
      <c r="C113" s="826"/>
      <c r="D113" s="827"/>
      <c r="S113" s="15"/>
      <c r="T113" s="4"/>
      <c r="U113" s="542">
        <v>53</v>
      </c>
      <c r="V113" s="826"/>
      <c r="W113" s="827"/>
      <c r="AL113" s="15"/>
    </row>
    <row r="114" spans="1:38">
      <c r="A114" s="146"/>
      <c r="B114" s="542">
        <v>54</v>
      </c>
      <c r="C114" s="826"/>
      <c r="D114" s="827"/>
      <c r="S114" s="15"/>
      <c r="T114" s="4"/>
      <c r="U114" s="542">
        <v>54</v>
      </c>
      <c r="V114" s="826"/>
      <c r="W114" s="827"/>
      <c r="AL114" s="15"/>
    </row>
    <row r="115" spans="1:38">
      <c r="A115" s="146"/>
      <c r="B115" s="542">
        <v>55</v>
      </c>
      <c r="C115" s="826"/>
      <c r="D115" s="827"/>
      <c r="S115" s="15"/>
      <c r="T115" s="4"/>
      <c r="U115" s="542">
        <v>55</v>
      </c>
      <c r="V115" s="826"/>
      <c r="W115" s="827"/>
      <c r="AL115" s="15"/>
    </row>
    <row r="116" spans="1:38">
      <c r="A116" s="146"/>
      <c r="B116" s="542">
        <v>56</v>
      </c>
      <c r="C116" s="826"/>
      <c r="D116" s="827"/>
      <c r="S116" s="15"/>
      <c r="T116" s="4"/>
      <c r="U116" s="542">
        <v>56</v>
      </c>
      <c r="V116" s="826"/>
      <c r="W116" s="827"/>
      <c r="AL116" s="15"/>
    </row>
    <row r="117" spans="1:38">
      <c r="A117" s="146"/>
      <c r="B117" s="542">
        <v>57</v>
      </c>
      <c r="C117" s="826"/>
      <c r="D117" s="827"/>
      <c r="S117" s="15"/>
      <c r="T117" s="4"/>
      <c r="U117" s="542">
        <v>57</v>
      </c>
      <c r="V117" s="826"/>
      <c r="W117" s="827"/>
      <c r="AL117" s="15"/>
    </row>
    <row r="118" spans="1:38">
      <c r="A118" s="146"/>
      <c r="B118" s="542">
        <v>58</v>
      </c>
      <c r="C118" s="826"/>
      <c r="D118" s="827"/>
      <c r="S118" s="15"/>
      <c r="T118" s="4"/>
      <c r="U118" s="542">
        <v>58</v>
      </c>
      <c r="V118" s="826"/>
      <c r="W118" s="827"/>
      <c r="AL118" s="15"/>
    </row>
    <row r="119" spans="1:38">
      <c r="A119" s="146"/>
      <c r="B119" s="542">
        <v>59</v>
      </c>
      <c r="C119" s="826"/>
      <c r="D119" s="827"/>
      <c r="S119" s="15"/>
      <c r="T119" s="4"/>
      <c r="U119" s="542">
        <v>59</v>
      </c>
      <c r="V119" s="826"/>
      <c r="W119" s="827"/>
      <c r="AL119" s="15"/>
    </row>
    <row r="120" spans="1:38">
      <c r="A120" s="146"/>
      <c r="B120" s="542">
        <v>60</v>
      </c>
      <c r="C120" s="826"/>
      <c r="D120" s="827"/>
      <c r="S120" s="15"/>
      <c r="T120" s="4"/>
      <c r="U120" s="542">
        <v>60</v>
      </c>
      <c r="V120" s="826"/>
      <c r="W120" s="827"/>
      <c r="AL120" s="15"/>
    </row>
    <row r="121" spans="1:38">
      <c r="A121" s="146"/>
      <c r="B121" s="542">
        <v>61</v>
      </c>
      <c r="C121" s="826"/>
      <c r="D121" s="827"/>
      <c r="S121" s="15"/>
      <c r="T121" s="4"/>
      <c r="U121" s="542">
        <v>61</v>
      </c>
      <c r="V121" s="826"/>
      <c r="W121" s="827"/>
      <c r="AL121" s="15"/>
    </row>
    <row r="122" spans="1:38">
      <c r="A122" s="146"/>
      <c r="B122" s="542">
        <v>62</v>
      </c>
      <c r="C122" s="826"/>
      <c r="D122" s="827"/>
      <c r="S122" s="15"/>
      <c r="T122" s="4"/>
      <c r="U122" s="542">
        <v>62</v>
      </c>
      <c r="V122" s="826"/>
      <c r="W122" s="827"/>
      <c r="AL122" s="15"/>
    </row>
    <row r="123" spans="1:38">
      <c r="A123" s="146"/>
      <c r="B123" s="542">
        <v>63</v>
      </c>
      <c r="C123" s="826"/>
      <c r="D123" s="827"/>
      <c r="S123" s="15"/>
      <c r="T123" s="4"/>
      <c r="U123" s="542">
        <v>63</v>
      </c>
      <c r="V123" s="826"/>
      <c r="W123" s="827"/>
      <c r="AL123" s="15"/>
    </row>
    <row r="124" spans="1:38">
      <c r="A124" s="146"/>
      <c r="B124" s="542">
        <v>64</v>
      </c>
      <c r="C124" s="826"/>
      <c r="D124" s="827"/>
      <c r="S124" s="15"/>
      <c r="T124" s="4"/>
      <c r="U124" s="542">
        <v>64</v>
      </c>
      <c r="V124" s="826"/>
      <c r="W124" s="827"/>
      <c r="AL124" s="15"/>
    </row>
    <row r="125" spans="1:38">
      <c r="A125" s="146"/>
      <c r="B125" s="542">
        <v>65</v>
      </c>
      <c r="C125" s="826"/>
      <c r="D125" s="827"/>
      <c r="S125" s="15"/>
      <c r="T125" s="4"/>
      <c r="U125" s="542">
        <v>65</v>
      </c>
      <c r="V125" s="826"/>
      <c r="W125" s="827"/>
      <c r="AL125" s="15"/>
    </row>
    <row r="126" spans="1:38">
      <c r="A126" s="146"/>
      <c r="B126" s="542">
        <v>66</v>
      </c>
      <c r="C126" s="826"/>
      <c r="D126" s="827"/>
      <c r="S126" s="15"/>
      <c r="T126" s="4"/>
      <c r="U126" s="542">
        <v>66</v>
      </c>
      <c r="V126" s="826"/>
      <c r="W126" s="827"/>
      <c r="AL126" s="15"/>
    </row>
    <row r="127" spans="1:38">
      <c r="A127" s="146"/>
      <c r="B127" s="542">
        <v>67</v>
      </c>
      <c r="C127" s="826"/>
      <c r="D127" s="827"/>
      <c r="S127" s="15"/>
      <c r="T127" s="4"/>
      <c r="U127" s="542">
        <v>67</v>
      </c>
      <c r="V127" s="826"/>
      <c r="W127" s="827"/>
      <c r="AL127" s="15"/>
    </row>
    <row r="128" spans="1:38">
      <c r="A128" s="146"/>
      <c r="B128" s="542">
        <v>68</v>
      </c>
      <c r="C128" s="826"/>
      <c r="D128" s="827"/>
      <c r="S128" s="15"/>
      <c r="T128" s="4"/>
      <c r="U128" s="542">
        <v>68</v>
      </c>
      <c r="V128" s="826"/>
      <c r="W128" s="827"/>
      <c r="AL128" s="15"/>
    </row>
    <row r="129" spans="1:38">
      <c r="A129" s="146"/>
      <c r="B129" s="542">
        <v>69</v>
      </c>
      <c r="C129" s="826"/>
      <c r="D129" s="827"/>
      <c r="S129" s="15"/>
      <c r="T129" s="4"/>
      <c r="U129" s="542">
        <v>69</v>
      </c>
      <c r="V129" s="826"/>
      <c r="W129" s="827"/>
      <c r="AL129" s="15"/>
    </row>
    <row r="130" spans="1:38">
      <c r="A130" s="146"/>
      <c r="B130" s="542">
        <v>70</v>
      </c>
      <c r="C130" s="826"/>
      <c r="D130" s="827"/>
      <c r="S130" s="15"/>
      <c r="T130" s="4"/>
      <c r="U130" s="542">
        <v>70</v>
      </c>
      <c r="V130" s="826"/>
      <c r="W130" s="827"/>
      <c r="AL130" s="15"/>
    </row>
    <row r="131" spans="1:38">
      <c r="A131" s="146"/>
      <c r="B131" s="542">
        <v>71</v>
      </c>
      <c r="C131" s="826"/>
      <c r="D131" s="827"/>
      <c r="S131" s="15"/>
      <c r="T131" s="4"/>
      <c r="U131" s="542">
        <v>71</v>
      </c>
      <c r="V131" s="826"/>
      <c r="W131" s="827"/>
      <c r="AL131" s="15"/>
    </row>
    <row r="132" spans="1:38">
      <c r="A132" s="146"/>
      <c r="B132" s="542">
        <v>72</v>
      </c>
      <c r="C132" s="826"/>
      <c r="D132" s="827"/>
      <c r="S132" s="15"/>
      <c r="T132" s="4"/>
      <c r="U132" s="542">
        <v>72</v>
      </c>
      <c r="V132" s="826"/>
      <c r="W132" s="827"/>
      <c r="AL132" s="15"/>
    </row>
    <row r="133" spans="1:38">
      <c r="A133" s="146"/>
      <c r="B133" s="542">
        <v>73</v>
      </c>
      <c r="C133" s="826"/>
      <c r="D133" s="827"/>
      <c r="S133" s="15"/>
      <c r="T133" s="4"/>
      <c r="U133" s="542">
        <v>73</v>
      </c>
      <c r="V133" s="826"/>
      <c r="W133" s="827"/>
      <c r="AL133" s="15"/>
    </row>
    <row r="134" spans="1:38">
      <c r="A134" s="146"/>
      <c r="B134" s="542">
        <v>74</v>
      </c>
      <c r="C134" s="826"/>
      <c r="D134" s="827"/>
      <c r="S134" s="15"/>
      <c r="T134" s="4"/>
      <c r="U134" s="542">
        <v>74</v>
      </c>
      <c r="V134" s="826"/>
      <c r="W134" s="827"/>
      <c r="AL134" s="15"/>
    </row>
    <row r="135" spans="1:38">
      <c r="A135" s="146"/>
      <c r="B135" s="542">
        <v>75</v>
      </c>
      <c r="C135" s="826"/>
      <c r="D135" s="827"/>
      <c r="S135" s="15"/>
      <c r="T135" s="4"/>
      <c r="U135" s="542">
        <v>75</v>
      </c>
      <c r="V135" s="826"/>
      <c r="W135" s="827"/>
      <c r="AL135" s="15"/>
    </row>
    <row r="136" spans="1:38">
      <c r="A136" s="146"/>
      <c r="B136" s="542">
        <v>76</v>
      </c>
      <c r="C136" s="826"/>
      <c r="D136" s="827"/>
      <c r="S136" s="15"/>
      <c r="T136" s="4"/>
      <c r="U136" s="542">
        <v>76</v>
      </c>
      <c r="V136" s="826"/>
      <c r="W136" s="827"/>
      <c r="AL136" s="15"/>
    </row>
    <row r="137" spans="1:38">
      <c r="A137" s="146"/>
      <c r="B137" s="542">
        <v>77</v>
      </c>
      <c r="C137" s="826"/>
      <c r="D137" s="827"/>
      <c r="S137" s="15"/>
      <c r="T137" s="4"/>
      <c r="U137" s="542">
        <v>77</v>
      </c>
      <c r="V137" s="826"/>
      <c r="W137" s="827"/>
      <c r="AL137" s="15"/>
    </row>
    <row r="138" spans="1:38">
      <c r="A138" s="146"/>
      <c r="B138" s="542">
        <v>78</v>
      </c>
      <c r="C138" s="826"/>
      <c r="D138" s="827"/>
      <c r="S138" s="15"/>
      <c r="T138" s="4"/>
      <c r="U138" s="542">
        <v>78</v>
      </c>
      <c r="V138" s="826"/>
      <c r="W138" s="827"/>
      <c r="AL138" s="15"/>
    </row>
    <row r="139" spans="1:38">
      <c r="A139" s="146"/>
      <c r="B139" s="542">
        <v>79</v>
      </c>
      <c r="C139" s="826"/>
      <c r="D139" s="827"/>
      <c r="S139" s="15"/>
      <c r="T139" s="4"/>
      <c r="U139" s="542">
        <v>79</v>
      </c>
      <c r="V139" s="826"/>
      <c r="W139" s="827"/>
      <c r="AL139" s="15"/>
    </row>
    <row r="140" spans="1:38">
      <c r="A140" s="146"/>
      <c r="B140" s="542">
        <v>80</v>
      </c>
      <c r="C140" s="826"/>
      <c r="D140" s="827"/>
      <c r="S140" s="15"/>
      <c r="T140" s="4"/>
      <c r="U140" s="542">
        <v>80</v>
      </c>
      <c r="V140" s="826"/>
      <c r="W140" s="827"/>
      <c r="AL140" s="15"/>
    </row>
    <row r="141" spans="1:38">
      <c r="A141" s="146"/>
      <c r="B141" s="542">
        <v>81</v>
      </c>
      <c r="C141" s="826"/>
      <c r="D141" s="827"/>
      <c r="S141" s="15"/>
      <c r="T141" s="4"/>
      <c r="U141" s="542">
        <v>81</v>
      </c>
      <c r="V141" s="826"/>
      <c r="W141" s="827"/>
      <c r="AL141" s="15"/>
    </row>
    <row r="142" spans="1:38">
      <c r="A142" s="146"/>
      <c r="B142" s="542">
        <v>82</v>
      </c>
      <c r="C142" s="826"/>
      <c r="D142" s="827"/>
      <c r="S142" s="15"/>
      <c r="T142" s="4"/>
      <c r="U142" s="542">
        <v>82</v>
      </c>
      <c r="V142" s="826"/>
      <c r="W142" s="827"/>
      <c r="AL142" s="15"/>
    </row>
    <row r="143" spans="1:38">
      <c r="A143" s="146"/>
      <c r="B143" s="542">
        <v>83</v>
      </c>
      <c r="C143" s="826"/>
      <c r="D143" s="827"/>
      <c r="S143" s="15"/>
      <c r="T143" s="4"/>
      <c r="U143" s="542">
        <v>83</v>
      </c>
      <c r="V143" s="826"/>
      <c r="W143" s="827"/>
      <c r="AL143" s="15"/>
    </row>
    <row r="144" spans="1:38">
      <c r="A144" s="146"/>
      <c r="B144" s="542">
        <v>84</v>
      </c>
      <c r="C144" s="826"/>
      <c r="D144" s="827"/>
      <c r="S144" s="15"/>
      <c r="T144" s="4"/>
      <c r="U144" s="542">
        <v>84</v>
      </c>
      <c r="V144" s="826"/>
      <c r="W144" s="827"/>
      <c r="AL144" s="15"/>
    </row>
    <row r="145" spans="1:38">
      <c r="A145" s="146"/>
      <c r="B145" s="542">
        <v>85</v>
      </c>
      <c r="C145" s="826"/>
      <c r="D145" s="827"/>
      <c r="S145" s="15"/>
      <c r="T145" s="4"/>
      <c r="U145" s="542">
        <v>85</v>
      </c>
      <c r="V145" s="826"/>
      <c r="W145" s="827"/>
      <c r="AL145" s="15"/>
    </row>
    <row r="146" spans="1:38">
      <c r="A146" s="146"/>
      <c r="B146" s="542">
        <v>86</v>
      </c>
      <c r="C146" s="826"/>
      <c r="D146" s="827"/>
      <c r="S146" s="15"/>
      <c r="T146" s="4"/>
      <c r="U146" s="542">
        <v>86</v>
      </c>
      <c r="V146" s="826"/>
      <c r="W146" s="827"/>
      <c r="AL146" s="15"/>
    </row>
    <row r="147" spans="1:38">
      <c r="A147" s="146"/>
      <c r="B147" s="542">
        <v>87</v>
      </c>
      <c r="C147" s="826"/>
      <c r="D147" s="827"/>
      <c r="S147" s="15"/>
      <c r="T147" s="4"/>
      <c r="U147" s="542">
        <v>87</v>
      </c>
      <c r="V147" s="826"/>
      <c r="W147" s="827"/>
      <c r="AL147" s="15"/>
    </row>
    <row r="148" spans="1:38">
      <c r="A148" s="146"/>
      <c r="B148" s="542">
        <v>88</v>
      </c>
      <c r="C148" s="826"/>
      <c r="D148" s="827"/>
      <c r="S148" s="15"/>
      <c r="T148" s="4"/>
      <c r="U148" s="542">
        <v>88</v>
      </c>
      <c r="V148" s="826"/>
      <c r="W148" s="827"/>
      <c r="AL148" s="15"/>
    </row>
    <row r="149" spans="1:38">
      <c r="A149" s="146"/>
      <c r="B149" s="542">
        <v>89</v>
      </c>
      <c r="C149" s="826"/>
      <c r="D149" s="827"/>
      <c r="S149" s="15"/>
      <c r="T149" s="4"/>
      <c r="U149" s="542">
        <v>89</v>
      </c>
      <c r="V149" s="826"/>
      <c r="W149" s="827"/>
      <c r="AL149" s="15"/>
    </row>
    <row r="150" spans="1:38">
      <c r="A150" s="146"/>
      <c r="B150" s="542">
        <v>90</v>
      </c>
      <c r="C150" s="826"/>
      <c r="D150" s="827"/>
      <c r="S150" s="15"/>
      <c r="T150" s="4"/>
      <c r="U150" s="542">
        <v>90</v>
      </c>
      <c r="V150" s="826"/>
      <c r="W150" s="827"/>
      <c r="AL150" s="15"/>
    </row>
    <row r="151" spans="1:38">
      <c r="A151" s="146"/>
      <c r="B151" s="542">
        <v>91</v>
      </c>
      <c r="C151" s="826"/>
      <c r="D151" s="827"/>
      <c r="S151" s="15"/>
      <c r="T151" s="4"/>
      <c r="U151" s="542">
        <v>91</v>
      </c>
      <c r="V151" s="826"/>
      <c r="W151" s="827"/>
      <c r="AL151" s="15"/>
    </row>
    <row r="152" spans="1:38">
      <c r="A152" s="146"/>
      <c r="B152" s="542">
        <v>92</v>
      </c>
      <c r="C152" s="826"/>
      <c r="D152" s="827"/>
      <c r="S152" s="15"/>
      <c r="T152" s="4"/>
      <c r="U152" s="542">
        <v>92</v>
      </c>
      <c r="V152" s="826"/>
      <c r="W152" s="827"/>
      <c r="AL152" s="15"/>
    </row>
    <row r="153" spans="1:38">
      <c r="A153" s="146"/>
      <c r="B153" s="542">
        <v>93</v>
      </c>
      <c r="C153" s="826"/>
      <c r="D153" s="827"/>
      <c r="S153" s="15"/>
      <c r="T153" s="4"/>
      <c r="U153" s="542">
        <v>93</v>
      </c>
      <c r="V153" s="826"/>
      <c r="W153" s="827"/>
      <c r="AL153" s="15"/>
    </row>
    <row r="154" spans="1:38">
      <c r="A154" s="146"/>
      <c r="B154" s="542">
        <v>94</v>
      </c>
      <c r="C154" s="826"/>
      <c r="D154" s="827"/>
      <c r="S154" s="15"/>
      <c r="T154" s="4"/>
      <c r="U154" s="542">
        <v>94</v>
      </c>
      <c r="V154" s="826"/>
      <c r="W154" s="827"/>
      <c r="AL154" s="15"/>
    </row>
    <row r="155" spans="1:38">
      <c r="A155" s="146"/>
      <c r="B155" s="542">
        <v>95</v>
      </c>
      <c r="C155" s="826"/>
      <c r="D155" s="827"/>
      <c r="S155" s="15"/>
      <c r="T155" s="4"/>
      <c r="U155" s="542">
        <v>95</v>
      </c>
      <c r="V155" s="826"/>
      <c r="W155" s="827"/>
      <c r="AL155" s="15"/>
    </row>
    <row r="156" spans="1:38">
      <c r="A156" s="146"/>
      <c r="B156" s="542">
        <v>96</v>
      </c>
      <c r="C156" s="826"/>
      <c r="D156" s="827"/>
      <c r="S156" s="15"/>
      <c r="T156" s="4"/>
      <c r="U156" s="542">
        <v>96</v>
      </c>
      <c r="V156" s="826"/>
      <c r="W156" s="827"/>
      <c r="AL156" s="15"/>
    </row>
    <row r="157" spans="1:38">
      <c r="A157" s="146"/>
      <c r="B157" s="542">
        <v>97</v>
      </c>
      <c r="C157" s="826"/>
      <c r="D157" s="827"/>
      <c r="S157" s="15"/>
      <c r="T157" s="4"/>
      <c r="U157" s="542">
        <v>97</v>
      </c>
      <c r="V157" s="826"/>
      <c r="W157" s="827"/>
      <c r="AL157" s="15"/>
    </row>
    <row r="158" spans="1:38">
      <c r="A158" s="146"/>
      <c r="B158" s="542">
        <v>98</v>
      </c>
      <c r="C158" s="826"/>
      <c r="D158" s="827"/>
      <c r="S158" s="15"/>
      <c r="T158" s="4"/>
      <c r="U158" s="542">
        <v>98</v>
      </c>
      <c r="V158" s="826"/>
      <c r="W158" s="827"/>
      <c r="AL158" s="15"/>
    </row>
    <row r="159" spans="1:38">
      <c r="A159" s="146"/>
      <c r="B159" s="542">
        <v>99</v>
      </c>
      <c r="C159" s="826"/>
      <c r="D159" s="827"/>
      <c r="S159" s="15"/>
      <c r="T159" s="4"/>
      <c r="U159" s="542">
        <v>99</v>
      </c>
      <c r="V159" s="826"/>
      <c r="W159" s="827"/>
      <c r="AL159" s="15"/>
    </row>
    <row r="160" spans="1:38">
      <c r="A160" s="146"/>
      <c r="B160" s="542">
        <v>100</v>
      </c>
      <c r="C160" s="826"/>
      <c r="D160" s="827"/>
      <c r="S160" s="15"/>
      <c r="T160" s="4"/>
      <c r="U160" s="542">
        <v>100</v>
      </c>
      <c r="V160" s="826"/>
      <c r="W160" s="827"/>
      <c r="AL160" s="15"/>
    </row>
    <row r="161" spans="1:38">
      <c r="A161" s="146"/>
      <c r="B161" s="542">
        <v>101</v>
      </c>
      <c r="C161" s="826"/>
      <c r="D161" s="827"/>
      <c r="S161" s="15"/>
      <c r="T161" s="4"/>
      <c r="U161" s="542">
        <v>101</v>
      </c>
      <c r="V161" s="826"/>
      <c r="W161" s="827"/>
      <c r="AL161" s="15"/>
    </row>
    <row r="162" spans="1:38">
      <c r="A162" s="146"/>
      <c r="B162" s="542">
        <v>102</v>
      </c>
      <c r="C162" s="826"/>
      <c r="D162" s="827"/>
      <c r="S162" s="15"/>
      <c r="T162" s="4"/>
      <c r="U162" s="542">
        <v>102</v>
      </c>
      <c r="V162" s="826"/>
      <c r="W162" s="827"/>
      <c r="AL162" s="15"/>
    </row>
    <row r="163" spans="1:38">
      <c r="A163" s="146"/>
      <c r="B163" s="542">
        <v>103</v>
      </c>
      <c r="C163" s="828"/>
      <c r="D163" s="829"/>
      <c r="S163" s="15"/>
      <c r="T163" s="4"/>
      <c r="U163" s="542">
        <v>103</v>
      </c>
      <c r="V163" s="828"/>
      <c r="W163" s="829"/>
      <c r="AL163" s="15"/>
    </row>
    <row r="164" spans="1:38">
      <c r="A164" s="146"/>
      <c r="B164" s="542">
        <v>104</v>
      </c>
      <c r="C164" s="828"/>
      <c r="D164" s="829"/>
      <c r="S164" s="15"/>
      <c r="T164" s="4"/>
      <c r="U164" s="542">
        <v>104</v>
      </c>
      <c r="V164" s="828"/>
      <c r="W164" s="829"/>
      <c r="AL164" s="15"/>
    </row>
    <row r="165" spans="1:38">
      <c r="A165" s="146"/>
      <c r="B165" s="542">
        <v>105</v>
      </c>
      <c r="C165" s="828"/>
      <c r="D165" s="829"/>
      <c r="S165" s="15"/>
      <c r="T165" s="4"/>
      <c r="U165" s="542">
        <v>105</v>
      </c>
      <c r="V165" s="828"/>
      <c r="W165" s="829"/>
      <c r="AL165" s="15"/>
    </row>
    <row r="166" spans="1:38">
      <c r="A166" s="146"/>
      <c r="B166" s="542">
        <v>106</v>
      </c>
      <c r="C166" s="828"/>
      <c r="D166" s="829"/>
      <c r="S166" s="15"/>
      <c r="T166" s="4"/>
      <c r="U166" s="542">
        <v>106</v>
      </c>
      <c r="V166" s="828"/>
      <c r="W166" s="829"/>
      <c r="AL166" s="15"/>
    </row>
    <row r="167" spans="1:38">
      <c r="A167" s="146"/>
      <c r="B167" s="542">
        <v>107</v>
      </c>
      <c r="C167" s="828"/>
      <c r="D167" s="829"/>
      <c r="S167" s="15"/>
      <c r="T167" s="4"/>
      <c r="U167" s="542">
        <v>107</v>
      </c>
      <c r="V167" s="828"/>
      <c r="W167" s="829"/>
      <c r="AL167" s="15"/>
    </row>
    <row r="168" spans="1:38">
      <c r="A168" s="146"/>
      <c r="B168" s="542">
        <v>108</v>
      </c>
      <c r="C168" s="828"/>
      <c r="D168" s="829"/>
      <c r="S168" s="15"/>
      <c r="T168" s="4"/>
      <c r="U168" s="542">
        <v>108</v>
      </c>
      <c r="V168" s="828"/>
      <c r="W168" s="829"/>
      <c r="AL168" s="15"/>
    </row>
    <row r="169" spans="1:38">
      <c r="A169" s="146"/>
      <c r="B169" s="542">
        <v>109</v>
      </c>
      <c r="C169" s="828"/>
      <c r="D169" s="829"/>
      <c r="S169" s="15"/>
      <c r="T169" s="4"/>
      <c r="U169" s="542">
        <v>109</v>
      </c>
      <c r="V169" s="828"/>
      <c r="W169" s="829"/>
      <c r="AL169" s="15"/>
    </row>
    <row r="170" spans="1:38">
      <c r="A170" s="146"/>
      <c r="B170" s="542">
        <v>110</v>
      </c>
      <c r="C170" s="828"/>
      <c r="D170" s="829"/>
      <c r="S170" s="15"/>
      <c r="T170" s="4"/>
      <c r="U170" s="542">
        <v>110</v>
      </c>
      <c r="V170" s="828"/>
      <c r="W170" s="829"/>
      <c r="AL170" s="15"/>
    </row>
    <row r="171" spans="1:38">
      <c r="A171" s="146"/>
      <c r="B171" s="542">
        <v>111</v>
      </c>
      <c r="C171" s="828"/>
      <c r="D171" s="829"/>
      <c r="S171" s="15"/>
      <c r="T171" s="4"/>
      <c r="U171" s="542">
        <v>111</v>
      </c>
      <c r="V171" s="828"/>
      <c r="W171" s="829"/>
      <c r="AL171" s="15"/>
    </row>
    <row r="172" spans="1:38">
      <c r="A172" s="146"/>
      <c r="B172" s="542">
        <v>112</v>
      </c>
      <c r="C172" s="828"/>
      <c r="D172" s="829"/>
      <c r="S172" s="15"/>
      <c r="T172" s="4"/>
      <c r="U172" s="542">
        <v>112</v>
      </c>
      <c r="V172" s="828"/>
      <c r="W172" s="829"/>
      <c r="AL172" s="15"/>
    </row>
    <row r="173" spans="1:38">
      <c r="A173" s="146"/>
      <c r="B173" s="542">
        <v>113</v>
      </c>
      <c r="C173" s="828"/>
      <c r="D173" s="829"/>
      <c r="S173" s="15"/>
      <c r="T173" s="4"/>
      <c r="U173" s="542">
        <v>113</v>
      </c>
      <c r="V173" s="828"/>
      <c r="W173" s="829"/>
      <c r="AL173" s="15"/>
    </row>
    <row r="174" spans="1:38">
      <c r="A174" s="146"/>
      <c r="B174" s="542">
        <v>114</v>
      </c>
      <c r="C174" s="828"/>
      <c r="D174" s="829"/>
      <c r="S174" s="15"/>
      <c r="T174" s="4"/>
      <c r="U174" s="542">
        <v>114</v>
      </c>
      <c r="V174" s="828"/>
      <c r="W174" s="829"/>
      <c r="AL174" s="15"/>
    </row>
    <row r="175" spans="1:38">
      <c r="A175" s="146"/>
      <c r="B175" s="542">
        <v>115</v>
      </c>
      <c r="C175" s="828"/>
      <c r="D175" s="829"/>
      <c r="S175" s="15"/>
      <c r="T175" s="4"/>
      <c r="U175" s="542">
        <v>115</v>
      </c>
      <c r="V175" s="828"/>
      <c r="W175" s="829"/>
      <c r="AL175" s="15"/>
    </row>
    <row r="176" spans="1:38">
      <c r="A176" s="146"/>
      <c r="B176" s="542">
        <v>116</v>
      </c>
      <c r="C176" s="828"/>
      <c r="D176" s="829"/>
      <c r="S176" s="15"/>
      <c r="T176" s="4"/>
      <c r="U176" s="542">
        <v>116</v>
      </c>
      <c r="V176" s="828"/>
      <c r="W176" s="829"/>
      <c r="AL176" s="15"/>
    </row>
    <row r="177" spans="1:38">
      <c r="A177" s="146"/>
      <c r="B177" s="542">
        <v>117</v>
      </c>
      <c r="C177" s="828"/>
      <c r="D177" s="829"/>
      <c r="S177" s="15"/>
      <c r="T177" s="4"/>
      <c r="U177" s="542">
        <v>117</v>
      </c>
      <c r="V177" s="828"/>
      <c r="W177" s="829"/>
      <c r="AL177" s="15"/>
    </row>
    <row r="178" spans="1:38">
      <c r="A178" s="146"/>
      <c r="B178" s="542">
        <v>118</v>
      </c>
      <c r="C178" s="828"/>
      <c r="D178" s="829"/>
      <c r="S178" s="15"/>
      <c r="T178" s="4"/>
      <c r="U178" s="542">
        <v>118</v>
      </c>
      <c r="V178" s="828"/>
      <c r="W178" s="829"/>
      <c r="AL178" s="15"/>
    </row>
    <row r="179" spans="1:38">
      <c r="A179" s="146"/>
      <c r="B179" s="542">
        <v>119</v>
      </c>
      <c r="C179" s="828"/>
      <c r="D179" s="829"/>
      <c r="S179" s="15"/>
      <c r="T179" s="4"/>
      <c r="U179" s="542">
        <v>119</v>
      </c>
      <c r="V179" s="828"/>
      <c r="W179" s="829"/>
      <c r="AL179" s="15"/>
    </row>
    <row r="180" spans="1:38">
      <c r="A180" s="146"/>
      <c r="B180" s="542">
        <v>120</v>
      </c>
      <c r="C180" s="828"/>
      <c r="D180" s="829"/>
      <c r="S180" s="15"/>
      <c r="T180" s="4"/>
      <c r="U180" s="542">
        <v>120</v>
      </c>
      <c r="V180" s="828"/>
      <c r="W180" s="829"/>
      <c r="AL180" s="15"/>
    </row>
    <row r="181" spans="1:38">
      <c r="A181" s="104"/>
      <c r="B181" s="542">
        <v>121</v>
      </c>
      <c r="C181" s="828"/>
      <c r="D181" s="829"/>
      <c r="S181" s="15"/>
      <c r="U181" s="542">
        <v>121</v>
      </c>
      <c r="V181" s="828"/>
      <c r="W181" s="829"/>
      <c r="AL181" s="15"/>
    </row>
    <row r="182" spans="1:38">
      <c r="B182" s="542">
        <v>122</v>
      </c>
      <c r="C182" s="828"/>
      <c r="D182" s="829"/>
      <c r="S182" s="15"/>
      <c r="U182" s="542">
        <v>122</v>
      </c>
      <c r="V182" s="828"/>
      <c r="W182" s="829"/>
      <c r="AL182" s="15"/>
    </row>
    <row r="183" spans="1:38">
      <c r="B183" s="542">
        <v>123</v>
      </c>
      <c r="C183" s="828"/>
      <c r="D183" s="829"/>
      <c r="S183" s="15"/>
      <c r="U183" s="542">
        <v>123</v>
      </c>
      <c r="V183" s="828"/>
      <c r="W183" s="829"/>
      <c r="AL183" s="15"/>
    </row>
    <row r="184" spans="1:38">
      <c r="B184" s="542">
        <v>124</v>
      </c>
      <c r="C184" s="828"/>
      <c r="D184" s="829"/>
      <c r="S184" s="15"/>
      <c r="U184" s="542">
        <v>124</v>
      </c>
      <c r="V184" s="828"/>
      <c r="W184" s="829"/>
      <c r="AL184" s="15"/>
    </row>
    <row r="185" spans="1:38">
      <c r="B185" s="542">
        <v>125</v>
      </c>
      <c r="C185" s="828"/>
      <c r="D185" s="829"/>
      <c r="S185" s="15"/>
      <c r="U185" s="542">
        <v>125</v>
      </c>
      <c r="V185" s="828"/>
      <c r="W185" s="829"/>
      <c r="AL185" s="15"/>
    </row>
    <row r="186" spans="1:38">
      <c r="B186" s="542">
        <v>126</v>
      </c>
      <c r="C186" s="828"/>
      <c r="D186" s="829"/>
      <c r="S186" s="15"/>
      <c r="U186" s="542">
        <v>126</v>
      </c>
      <c r="V186" s="828"/>
      <c r="W186" s="829"/>
      <c r="AL186" s="15"/>
    </row>
    <row r="187" spans="1:38">
      <c r="B187" s="542">
        <v>127</v>
      </c>
      <c r="C187" s="828"/>
      <c r="D187" s="829"/>
      <c r="S187" s="15"/>
      <c r="U187" s="542">
        <v>127</v>
      </c>
      <c r="V187" s="828"/>
      <c r="W187" s="829"/>
      <c r="AL187" s="15"/>
    </row>
    <row r="188" spans="1:38">
      <c r="B188" s="542">
        <v>128</v>
      </c>
      <c r="C188" s="828"/>
      <c r="D188" s="829"/>
      <c r="S188" s="15"/>
      <c r="U188" s="542">
        <v>128</v>
      </c>
      <c r="V188" s="828"/>
      <c r="W188" s="829"/>
      <c r="AL188" s="15"/>
    </row>
    <row r="189" spans="1:38">
      <c r="B189" s="542">
        <v>129</v>
      </c>
      <c r="C189" s="828"/>
      <c r="D189" s="829"/>
      <c r="S189" s="15"/>
      <c r="U189" s="542">
        <v>129</v>
      </c>
      <c r="V189" s="828"/>
      <c r="W189" s="829"/>
      <c r="AL189" s="15"/>
    </row>
    <row r="190" spans="1:38">
      <c r="B190" s="542">
        <v>130</v>
      </c>
      <c r="C190" s="828"/>
      <c r="D190" s="829"/>
      <c r="S190" s="15"/>
      <c r="U190" s="542">
        <v>130</v>
      </c>
      <c r="V190" s="828"/>
      <c r="W190" s="829"/>
      <c r="AL190" s="15"/>
    </row>
    <row r="191" spans="1:38">
      <c r="B191" s="542">
        <v>131</v>
      </c>
      <c r="C191" s="828"/>
      <c r="D191" s="829"/>
      <c r="S191" s="15"/>
      <c r="U191" s="542">
        <v>131</v>
      </c>
      <c r="V191" s="828"/>
      <c r="W191" s="829"/>
      <c r="AL191" s="15"/>
    </row>
    <row r="192" spans="1:38">
      <c r="B192" s="542">
        <v>132</v>
      </c>
      <c r="C192" s="828"/>
      <c r="D192" s="829"/>
      <c r="S192" s="15"/>
      <c r="U192" s="542">
        <v>132</v>
      </c>
      <c r="V192" s="828"/>
      <c r="W192" s="829"/>
      <c r="AL192" s="15"/>
    </row>
    <row r="193" spans="2:38">
      <c r="B193" s="542">
        <v>133</v>
      </c>
      <c r="C193" s="828"/>
      <c r="D193" s="829"/>
      <c r="S193" s="15"/>
      <c r="U193" s="542">
        <v>133</v>
      </c>
      <c r="V193" s="828"/>
      <c r="W193" s="829"/>
      <c r="AL193" s="15"/>
    </row>
    <row r="194" spans="2:38">
      <c r="B194" s="542">
        <v>134</v>
      </c>
      <c r="C194" s="828"/>
      <c r="D194" s="829"/>
      <c r="S194" s="15"/>
      <c r="U194" s="542">
        <v>134</v>
      </c>
      <c r="V194" s="828"/>
      <c r="W194" s="829"/>
      <c r="AL194" s="15"/>
    </row>
    <row r="195" spans="2:38">
      <c r="B195" s="542">
        <v>135</v>
      </c>
      <c r="C195" s="828"/>
      <c r="D195" s="829"/>
      <c r="S195" s="15"/>
      <c r="U195" s="542">
        <v>135</v>
      </c>
      <c r="V195" s="828"/>
      <c r="W195" s="829"/>
      <c r="AL195" s="15"/>
    </row>
    <row r="196" spans="2:38">
      <c r="B196" s="542">
        <v>136</v>
      </c>
      <c r="C196" s="828"/>
      <c r="D196" s="829"/>
      <c r="S196" s="15"/>
      <c r="U196" s="542">
        <v>136</v>
      </c>
      <c r="V196" s="828"/>
      <c r="W196" s="829"/>
      <c r="AL196" s="15"/>
    </row>
    <row r="197" spans="2:38">
      <c r="B197" s="542">
        <v>137</v>
      </c>
      <c r="C197" s="828"/>
      <c r="D197" s="829"/>
      <c r="S197" s="15"/>
      <c r="U197" s="542">
        <v>137</v>
      </c>
      <c r="V197" s="828"/>
      <c r="W197" s="829"/>
      <c r="AL197" s="15"/>
    </row>
    <row r="198" spans="2:38">
      <c r="B198" s="542">
        <v>138</v>
      </c>
      <c r="C198" s="828"/>
      <c r="D198" s="829"/>
      <c r="S198" s="15"/>
      <c r="U198" s="542">
        <v>138</v>
      </c>
      <c r="V198" s="828"/>
      <c r="W198" s="829"/>
      <c r="AL198" s="15"/>
    </row>
    <row r="199" spans="2:38">
      <c r="B199" s="542">
        <v>139</v>
      </c>
      <c r="C199" s="828"/>
      <c r="D199" s="829"/>
      <c r="S199" s="15"/>
      <c r="U199" s="542">
        <v>139</v>
      </c>
      <c r="V199" s="828"/>
      <c r="W199" s="829"/>
      <c r="AL199" s="15"/>
    </row>
    <row r="200" spans="2:38">
      <c r="B200" s="542">
        <v>140</v>
      </c>
      <c r="C200" s="828"/>
      <c r="D200" s="829"/>
      <c r="S200" s="15"/>
      <c r="U200" s="542">
        <v>140</v>
      </c>
      <c r="V200" s="828"/>
      <c r="W200" s="829"/>
      <c r="AL200" s="15"/>
    </row>
    <row r="201" spans="2:38">
      <c r="B201" s="542">
        <v>141</v>
      </c>
      <c r="C201" s="828"/>
      <c r="D201" s="829"/>
      <c r="S201" s="15"/>
      <c r="U201" s="542">
        <v>141</v>
      </c>
      <c r="V201" s="828"/>
      <c r="W201" s="829"/>
      <c r="AL201" s="15"/>
    </row>
    <row r="202" spans="2:38">
      <c r="B202" s="542">
        <v>142</v>
      </c>
      <c r="C202" s="828"/>
      <c r="D202" s="829"/>
      <c r="S202" s="15"/>
      <c r="U202" s="542">
        <v>142</v>
      </c>
      <c r="V202" s="828"/>
      <c r="W202" s="829"/>
      <c r="AL202" s="15"/>
    </row>
    <row r="203" spans="2:38">
      <c r="B203" s="542">
        <v>143</v>
      </c>
      <c r="C203" s="828"/>
      <c r="D203" s="829"/>
      <c r="S203" s="15"/>
      <c r="U203" s="542">
        <v>143</v>
      </c>
      <c r="V203" s="828"/>
      <c r="W203" s="829"/>
      <c r="AL203" s="15"/>
    </row>
    <row r="204" spans="2:38">
      <c r="B204" s="542">
        <v>144</v>
      </c>
      <c r="C204" s="828"/>
      <c r="D204" s="829"/>
      <c r="S204" s="15"/>
      <c r="U204" s="542">
        <v>144</v>
      </c>
      <c r="V204" s="828"/>
      <c r="W204" s="829"/>
      <c r="AL204" s="15"/>
    </row>
    <row r="205" spans="2:38">
      <c r="B205" s="542">
        <v>145</v>
      </c>
      <c r="C205" s="828"/>
      <c r="D205" s="829"/>
      <c r="S205" s="15"/>
      <c r="U205" s="542">
        <v>145</v>
      </c>
      <c r="V205" s="828"/>
      <c r="W205" s="829"/>
      <c r="AL205" s="15"/>
    </row>
    <row r="206" spans="2:38">
      <c r="B206" s="542">
        <v>146</v>
      </c>
      <c r="C206" s="828"/>
      <c r="D206" s="829"/>
      <c r="S206" s="15"/>
      <c r="U206" s="542">
        <v>146</v>
      </c>
      <c r="V206" s="828"/>
      <c r="W206" s="829"/>
      <c r="AL206" s="15"/>
    </row>
    <row r="207" spans="2:38">
      <c r="B207" s="542">
        <v>147</v>
      </c>
      <c r="C207" s="828"/>
      <c r="D207" s="829"/>
      <c r="S207" s="15"/>
      <c r="U207" s="542">
        <v>147</v>
      </c>
      <c r="V207" s="828"/>
      <c r="W207" s="829"/>
      <c r="AL207" s="15"/>
    </row>
    <row r="208" spans="2:38">
      <c r="B208" s="542">
        <v>148</v>
      </c>
      <c r="C208" s="828"/>
      <c r="D208" s="829"/>
      <c r="S208" s="15"/>
      <c r="U208" s="542">
        <v>148</v>
      </c>
      <c r="V208" s="828"/>
      <c r="W208" s="829"/>
      <c r="AL208" s="15"/>
    </row>
    <row r="209" spans="2:38">
      <c r="B209" s="542">
        <v>149</v>
      </c>
      <c r="C209" s="828"/>
      <c r="D209" s="829"/>
      <c r="S209" s="15"/>
      <c r="U209" s="542">
        <v>149</v>
      </c>
      <c r="V209" s="828"/>
      <c r="W209" s="829"/>
      <c r="AL209" s="15"/>
    </row>
    <row r="210" spans="2:38">
      <c r="B210" s="542">
        <v>150</v>
      </c>
      <c r="C210" s="828"/>
      <c r="D210" s="829"/>
      <c r="S210" s="15"/>
      <c r="U210" s="542">
        <v>150</v>
      </c>
      <c r="V210" s="828"/>
      <c r="W210" s="829"/>
      <c r="AL210" s="15"/>
    </row>
    <row r="211" spans="2:38">
      <c r="B211" s="542">
        <v>151</v>
      </c>
      <c r="C211" s="828"/>
      <c r="D211" s="829"/>
      <c r="S211" s="15"/>
      <c r="U211" s="542">
        <v>151</v>
      </c>
      <c r="V211" s="828"/>
      <c r="W211" s="829"/>
      <c r="AL211" s="15"/>
    </row>
    <row r="212" spans="2:38">
      <c r="B212" s="542">
        <v>152</v>
      </c>
      <c r="C212" s="828"/>
      <c r="D212" s="829"/>
      <c r="S212" s="15"/>
      <c r="U212" s="542">
        <v>152</v>
      </c>
      <c r="V212" s="828"/>
      <c r="W212" s="829"/>
      <c r="AL212" s="15"/>
    </row>
    <row r="213" spans="2:38">
      <c r="B213" s="542">
        <v>153</v>
      </c>
      <c r="C213" s="828"/>
      <c r="D213" s="829"/>
      <c r="S213" s="15"/>
      <c r="U213" s="542">
        <v>153</v>
      </c>
      <c r="V213" s="828"/>
      <c r="W213" s="829"/>
      <c r="AL213" s="15"/>
    </row>
    <row r="214" spans="2:38">
      <c r="B214" s="542">
        <v>154</v>
      </c>
      <c r="C214" s="828"/>
      <c r="D214" s="829"/>
      <c r="S214" s="15"/>
      <c r="U214" s="542">
        <v>154</v>
      </c>
      <c r="V214" s="828"/>
      <c r="W214" s="829"/>
      <c r="AL214" s="15"/>
    </row>
    <row r="215" spans="2:38">
      <c r="B215" s="542">
        <v>155</v>
      </c>
      <c r="C215" s="828"/>
      <c r="D215" s="829"/>
      <c r="S215" s="15"/>
      <c r="U215" s="542">
        <v>155</v>
      </c>
      <c r="V215" s="828"/>
      <c r="W215" s="829"/>
      <c r="AL215" s="15"/>
    </row>
    <row r="216" spans="2:38">
      <c r="B216" s="542">
        <v>156</v>
      </c>
      <c r="C216" s="828"/>
      <c r="D216" s="829"/>
      <c r="S216" s="15"/>
      <c r="U216" s="542">
        <v>156</v>
      </c>
      <c r="V216" s="828"/>
      <c r="W216" s="829"/>
      <c r="AL216" s="15"/>
    </row>
    <row r="217" spans="2:38">
      <c r="B217" s="542">
        <v>157</v>
      </c>
      <c r="C217" s="828"/>
      <c r="D217" s="829"/>
      <c r="S217" s="15"/>
      <c r="U217" s="542">
        <v>157</v>
      </c>
      <c r="V217" s="828"/>
      <c r="W217" s="829"/>
      <c r="AL217" s="15"/>
    </row>
    <row r="218" spans="2:38">
      <c r="B218" s="542">
        <v>158</v>
      </c>
      <c r="C218" s="828"/>
      <c r="D218" s="829"/>
      <c r="S218" s="15"/>
      <c r="U218" s="542">
        <v>158</v>
      </c>
      <c r="V218" s="828"/>
      <c r="W218" s="829"/>
      <c r="AL218" s="15"/>
    </row>
    <row r="219" spans="2:38">
      <c r="B219" s="542">
        <v>159</v>
      </c>
      <c r="C219" s="828"/>
      <c r="D219" s="829"/>
      <c r="S219" s="15"/>
      <c r="U219" s="542">
        <v>159</v>
      </c>
      <c r="V219" s="828"/>
      <c r="W219" s="829"/>
      <c r="AL219" s="15"/>
    </row>
    <row r="220" spans="2:38">
      <c r="B220" s="542">
        <v>160</v>
      </c>
      <c r="C220" s="828"/>
      <c r="D220" s="829"/>
      <c r="S220" s="15"/>
      <c r="U220" s="542">
        <v>160</v>
      </c>
      <c r="V220" s="828"/>
      <c r="W220" s="829"/>
      <c r="AL220" s="15"/>
    </row>
    <row r="221" spans="2:38">
      <c r="B221" s="542">
        <v>161</v>
      </c>
      <c r="C221" s="828"/>
      <c r="D221" s="829"/>
      <c r="S221" s="15"/>
      <c r="U221" s="542">
        <v>161</v>
      </c>
      <c r="V221" s="828"/>
      <c r="W221" s="829"/>
      <c r="AL221" s="15"/>
    </row>
    <row r="222" spans="2:38">
      <c r="B222" s="542">
        <v>162</v>
      </c>
      <c r="C222" s="828"/>
      <c r="D222" s="829"/>
      <c r="S222" s="15"/>
      <c r="U222" s="542">
        <v>162</v>
      </c>
      <c r="V222" s="828"/>
      <c r="W222" s="829"/>
      <c r="AL222" s="15"/>
    </row>
    <row r="223" spans="2:38">
      <c r="B223" s="542">
        <v>163</v>
      </c>
      <c r="C223" s="828"/>
      <c r="D223" s="829"/>
      <c r="S223" s="15"/>
      <c r="U223" s="542">
        <v>163</v>
      </c>
      <c r="V223" s="828"/>
      <c r="W223" s="829"/>
      <c r="AL223" s="15"/>
    </row>
    <row r="224" spans="2:38">
      <c r="B224" s="542">
        <v>164</v>
      </c>
      <c r="C224" s="828"/>
      <c r="D224" s="829"/>
      <c r="S224" s="15"/>
      <c r="U224" s="542">
        <v>164</v>
      </c>
      <c r="V224" s="828"/>
      <c r="W224" s="829"/>
      <c r="AL224" s="15"/>
    </row>
    <row r="225" spans="2:38">
      <c r="B225" s="542">
        <v>165</v>
      </c>
      <c r="C225" s="828"/>
      <c r="D225" s="829"/>
      <c r="S225" s="15"/>
      <c r="U225" s="542">
        <v>165</v>
      </c>
      <c r="V225" s="828"/>
      <c r="W225" s="829"/>
      <c r="AL225" s="15"/>
    </row>
    <row r="226" spans="2:38">
      <c r="B226" s="542">
        <v>166</v>
      </c>
      <c r="C226" s="828"/>
      <c r="D226" s="829"/>
      <c r="S226" s="15"/>
      <c r="U226" s="542">
        <v>166</v>
      </c>
      <c r="V226" s="828"/>
      <c r="W226" s="829"/>
      <c r="AL226" s="15"/>
    </row>
    <row r="227" spans="2:38">
      <c r="B227" s="542">
        <v>167</v>
      </c>
      <c r="C227" s="828"/>
      <c r="D227" s="829"/>
      <c r="S227" s="15"/>
      <c r="U227" s="542">
        <v>167</v>
      </c>
      <c r="V227" s="828"/>
      <c r="W227" s="829"/>
      <c r="AL227" s="15"/>
    </row>
    <row r="228" spans="2:38">
      <c r="B228" s="542">
        <v>168</v>
      </c>
      <c r="C228" s="828"/>
      <c r="D228" s="829"/>
      <c r="S228" s="15"/>
      <c r="U228" s="542">
        <v>168</v>
      </c>
      <c r="V228" s="828"/>
      <c r="W228" s="829"/>
      <c r="AL228" s="15"/>
    </row>
    <row r="229" spans="2:38">
      <c r="B229" s="542">
        <v>169</v>
      </c>
      <c r="C229" s="828"/>
      <c r="D229" s="829"/>
      <c r="S229" s="15"/>
      <c r="U229" s="542">
        <v>169</v>
      </c>
      <c r="V229" s="828"/>
      <c r="W229" s="829"/>
      <c r="AL229" s="15"/>
    </row>
    <row r="230" spans="2:38">
      <c r="B230" s="542">
        <v>170</v>
      </c>
      <c r="C230" s="828"/>
      <c r="D230" s="829"/>
      <c r="S230" s="15"/>
      <c r="U230" s="542">
        <v>170</v>
      </c>
      <c r="V230" s="828"/>
      <c r="W230" s="829"/>
      <c r="AL230" s="15"/>
    </row>
    <row r="231" spans="2:38">
      <c r="B231" s="542">
        <v>171</v>
      </c>
      <c r="C231" s="828"/>
      <c r="D231" s="829"/>
      <c r="S231" s="15"/>
      <c r="U231" s="542">
        <v>171</v>
      </c>
      <c r="V231" s="828"/>
      <c r="W231" s="829"/>
      <c r="AL231" s="15"/>
    </row>
    <row r="232" spans="2:38">
      <c r="B232" s="542">
        <v>172</v>
      </c>
      <c r="C232" s="828"/>
      <c r="D232" s="830"/>
      <c r="S232" s="15"/>
      <c r="U232" s="542">
        <v>172</v>
      </c>
      <c r="V232" s="828"/>
      <c r="W232" s="830"/>
      <c r="AL232" s="15"/>
    </row>
    <row r="233" spans="2:38">
      <c r="B233" s="542">
        <v>173</v>
      </c>
      <c r="C233" s="831"/>
      <c r="D233" s="830"/>
      <c r="S233" s="15"/>
      <c r="U233" s="542">
        <v>173</v>
      </c>
      <c r="V233" s="831"/>
      <c r="W233" s="830"/>
      <c r="AL233" s="15"/>
    </row>
    <row r="234" spans="2:38">
      <c r="B234" s="542">
        <v>174</v>
      </c>
      <c r="C234" s="831"/>
      <c r="D234" s="830"/>
      <c r="S234" s="15"/>
      <c r="U234" s="542">
        <v>174</v>
      </c>
      <c r="V234" s="831"/>
      <c r="W234" s="830"/>
      <c r="AL234" s="15"/>
    </row>
    <row r="235" spans="2:38">
      <c r="B235" s="542">
        <v>175</v>
      </c>
      <c r="C235" s="831"/>
      <c r="D235" s="830"/>
      <c r="S235" s="15"/>
      <c r="U235" s="542">
        <v>175</v>
      </c>
      <c r="V235" s="831"/>
      <c r="W235" s="830"/>
      <c r="AL235" s="15"/>
    </row>
    <row r="236" spans="2:38">
      <c r="B236" s="542">
        <v>176</v>
      </c>
      <c r="C236" s="831"/>
      <c r="D236" s="830"/>
      <c r="S236" s="15"/>
      <c r="U236" s="542">
        <v>176</v>
      </c>
      <c r="V236" s="831"/>
      <c r="W236" s="830"/>
      <c r="AL236" s="15"/>
    </row>
    <row r="237" spans="2:38">
      <c r="B237" s="542">
        <v>177</v>
      </c>
      <c r="C237" s="831"/>
      <c r="D237" s="830"/>
      <c r="S237" s="15"/>
      <c r="U237" s="542">
        <v>177</v>
      </c>
      <c r="V237" s="831"/>
      <c r="W237" s="830"/>
      <c r="AL237" s="15"/>
    </row>
    <row r="238" spans="2:38">
      <c r="B238" s="542">
        <v>178</v>
      </c>
      <c r="C238" s="831"/>
      <c r="D238" s="830"/>
      <c r="S238" s="15"/>
      <c r="U238" s="542">
        <v>178</v>
      </c>
      <c r="V238" s="831"/>
      <c r="W238" s="830"/>
      <c r="AL238" s="15"/>
    </row>
    <row r="239" spans="2:38">
      <c r="B239" s="542">
        <v>179</v>
      </c>
      <c r="C239" s="831"/>
      <c r="D239" s="830"/>
      <c r="S239" s="15"/>
      <c r="U239" s="542">
        <v>179</v>
      </c>
      <c r="V239" s="831"/>
      <c r="W239" s="830"/>
      <c r="AL239" s="15"/>
    </row>
    <row r="240" spans="2:38">
      <c r="B240" s="542">
        <v>180</v>
      </c>
      <c r="C240" s="831"/>
      <c r="D240" s="830"/>
      <c r="S240" s="15"/>
      <c r="U240" s="542">
        <v>180</v>
      </c>
      <c r="V240" s="831"/>
      <c r="W240" s="830"/>
      <c r="AL240" s="15"/>
    </row>
    <row r="241" spans="2:38">
      <c r="B241" s="542">
        <v>181</v>
      </c>
      <c r="C241" s="831"/>
      <c r="D241" s="830"/>
      <c r="S241" s="15"/>
      <c r="U241" s="542">
        <v>181</v>
      </c>
      <c r="V241" s="831"/>
      <c r="W241" s="830"/>
      <c r="AL241" s="15"/>
    </row>
    <row r="242" spans="2:38">
      <c r="B242" s="542">
        <v>182</v>
      </c>
      <c r="C242" s="831"/>
      <c r="D242" s="830"/>
      <c r="S242" s="15"/>
      <c r="U242" s="542">
        <v>182</v>
      </c>
      <c r="V242" s="831"/>
      <c r="W242" s="830"/>
      <c r="AL242" s="15"/>
    </row>
    <row r="243" spans="2:38">
      <c r="B243" s="542">
        <v>183</v>
      </c>
      <c r="C243" s="831"/>
      <c r="D243" s="830"/>
      <c r="S243" s="15"/>
      <c r="U243" s="542">
        <v>183</v>
      </c>
      <c r="V243" s="831"/>
      <c r="W243" s="830"/>
      <c r="AL243" s="15"/>
    </row>
    <row r="244" spans="2:38">
      <c r="B244" s="542">
        <v>184</v>
      </c>
      <c r="C244" s="831"/>
      <c r="D244" s="830"/>
      <c r="S244" s="15"/>
      <c r="U244" s="542">
        <v>184</v>
      </c>
      <c r="V244" s="831"/>
      <c r="W244" s="830"/>
      <c r="AL244" s="15"/>
    </row>
    <row r="245" spans="2:38">
      <c r="B245" s="542">
        <v>185</v>
      </c>
      <c r="C245" s="831"/>
      <c r="D245" s="830"/>
      <c r="S245" s="15"/>
      <c r="U245" s="542">
        <v>185</v>
      </c>
      <c r="V245" s="831"/>
      <c r="W245" s="830"/>
      <c r="AL245" s="15"/>
    </row>
    <row r="246" spans="2:38">
      <c r="B246" s="542">
        <v>186</v>
      </c>
      <c r="C246" s="831"/>
      <c r="D246" s="830"/>
      <c r="S246" s="15"/>
      <c r="U246" s="542">
        <v>186</v>
      </c>
      <c r="V246" s="831"/>
      <c r="W246" s="830"/>
      <c r="AL246" s="15"/>
    </row>
    <row r="247" spans="2:38">
      <c r="B247" s="542">
        <v>187</v>
      </c>
      <c r="C247" s="831"/>
      <c r="D247" s="830"/>
      <c r="S247" s="15"/>
      <c r="U247" s="542">
        <v>187</v>
      </c>
      <c r="V247" s="831"/>
      <c r="W247" s="830"/>
      <c r="AL247" s="15"/>
    </row>
    <row r="248" spans="2:38">
      <c r="B248" s="542">
        <v>188</v>
      </c>
      <c r="C248" s="831"/>
      <c r="D248" s="830"/>
      <c r="S248" s="15"/>
      <c r="U248" s="542">
        <v>188</v>
      </c>
      <c r="V248" s="831"/>
      <c r="W248" s="830"/>
      <c r="AL248" s="15"/>
    </row>
    <row r="249" spans="2:38">
      <c r="B249" s="542">
        <v>189</v>
      </c>
      <c r="C249" s="831"/>
      <c r="D249" s="830"/>
      <c r="S249" s="15"/>
      <c r="U249" s="542">
        <v>189</v>
      </c>
      <c r="V249" s="831"/>
      <c r="W249" s="830"/>
      <c r="AL249" s="15"/>
    </row>
    <row r="250" spans="2:38">
      <c r="B250" s="542">
        <v>190</v>
      </c>
      <c r="C250" s="831"/>
      <c r="D250" s="830"/>
      <c r="S250" s="15"/>
      <c r="U250" s="542">
        <v>190</v>
      </c>
      <c r="V250" s="831"/>
      <c r="W250" s="830"/>
      <c r="AL250" s="15"/>
    </row>
    <row r="251" spans="2:38">
      <c r="B251" s="542">
        <v>191</v>
      </c>
      <c r="C251" s="831"/>
      <c r="D251" s="830"/>
      <c r="S251" s="15"/>
      <c r="U251" s="542">
        <v>191</v>
      </c>
      <c r="V251" s="831"/>
      <c r="W251" s="830"/>
      <c r="AL251" s="15"/>
    </row>
    <row r="252" spans="2:38">
      <c r="B252" s="542">
        <v>192</v>
      </c>
      <c r="C252" s="831"/>
      <c r="D252" s="830"/>
      <c r="S252" s="15"/>
      <c r="U252" s="542">
        <v>192</v>
      </c>
      <c r="V252" s="831"/>
      <c r="W252" s="830"/>
      <c r="AL252" s="15"/>
    </row>
    <row r="253" spans="2:38">
      <c r="B253" s="542">
        <v>193</v>
      </c>
      <c r="C253" s="831"/>
      <c r="D253" s="830"/>
      <c r="S253" s="15"/>
      <c r="U253" s="542">
        <v>193</v>
      </c>
      <c r="V253" s="831"/>
      <c r="W253" s="830"/>
      <c r="AL253" s="15"/>
    </row>
    <row r="254" spans="2:38">
      <c r="B254" s="542">
        <v>194</v>
      </c>
      <c r="C254" s="831"/>
      <c r="D254" s="830"/>
      <c r="S254" s="15"/>
      <c r="U254" s="542">
        <v>194</v>
      </c>
      <c r="V254" s="831"/>
      <c r="W254" s="830"/>
      <c r="AL254" s="15"/>
    </row>
    <row r="255" spans="2:38">
      <c r="B255" s="542">
        <v>195</v>
      </c>
      <c r="C255" s="831"/>
      <c r="D255" s="830"/>
      <c r="S255" s="15"/>
      <c r="U255" s="542">
        <v>195</v>
      </c>
      <c r="V255" s="831"/>
      <c r="W255" s="830"/>
      <c r="AL255" s="15"/>
    </row>
    <row r="256" spans="2:38">
      <c r="B256" s="542">
        <v>196</v>
      </c>
      <c r="C256" s="831"/>
      <c r="D256" s="830"/>
      <c r="S256" s="15"/>
      <c r="U256" s="542">
        <v>196</v>
      </c>
      <c r="V256" s="831"/>
      <c r="W256" s="830"/>
      <c r="AL256" s="15"/>
    </row>
    <row r="257" spans="2:38">
      <c r="B257" s="542">
        <v>197</v>
      </c>
      <c r="C257" s="831"/>
      <c r="D257" s="830"/>
      <c r="S257" s="15"/>
      <c r="U257" s="542">
        <v>197</v>
      </c>
      <c r="V257" s="831"/>
      <c r="W257" s="830"/>
      <c r="AL257" s="15"/>
    </row>
    <row r="258" spans="2:38">
      <c r="B258" s="542">
        <v>198</v>
      </c>
      <c r="C258" s="831"/>
      <c r="D258" s="830"/>
      <c r="S258" s="15"/>
      <c r="U258" s="542">
        <v>198</v>
      </c>
      <c r="V258" s="831"/>
      <c r="W258" s="830"/>
      <c r="AL258" s="15"/>
    </row>
    <row r="259" spans="2:38">
      <c r="B259" s="542">
        <v>199</v>
      </c>
      <c r="C259" s="831"/>
      <c r="D259" s="830"/>
      <c r="S259" s="15"/>
      <c r="U259" s="542">
        <v>199</v>
      </c>
      <c r="V259" s="831"/>
      <c r="W259" s="830"/>
      <c r="AL259" s="15"/>
    </row>
    <row r="260" spans="2:38">
      <c r="B260" s="542">
        <v>200</v>
      </c>
      <c r="C260" s="831"/>
      <c r="D260" s="830"/>
      <c r="S260" s="15"/>
      <c r="U260" s="542">
        <v>200</v>
      </c>
      <c r="V260" s="831"/>
      <c r="W260" s="830"/>
      <c r="AL260" s="15"/>
    </row>
    <row r="261" spans="2:38">
      <c r="B261" s="542">
        <v>201</v>
      </c>
      <c r="C261" s="831"/>
      <c r="D261" s="830"/>
      <c r="S261" s="15"/>
      <c r="U261" s="542">
        <v>201</v>
      </c>
      <c r="V261" s="831"/>
      <c r="W261" s="830"/>
      <c r="AL261" s="15"/>
    </row>
    <row r="262" spans="2:38">
      <c r="B262" s="542">
        <v>202</v>
      </c>
      <c r="C262" s="831"/>
      <c r="D262" s="830"/>
      <c r="S262" s="15"/>
      <c r="U262" s="542">
        <v>202</v>
      </c>
      <c r="V262" s="831"/>
      <c r="W262" s="830"/>
      <c r="AL262" s="15"/>
    </row>
    <row r="263" spans="2:38">
      <c r="B263" s="542">
        <v>203</v>
      </c>
      <c r="C263" s="831"/>
      <c r="D263" s="830"/>
      <c r="S263" s="15"/>
      <c r="U263" s="542">
        <v>203</v>
      </c>
      <c r="V263" s="831"/>
      <c r="W263" s="830"/>
      <c r="AL263" s="15"/>
    </row>
    <row r="264" spans="2:38">
      <c r="B264" s="542">
        <v>204</v>
      </c>
      <c r="C264" s="831"/>
      <c r="D264" s="830"/>
      <c r="S264" s="15"/>
      <c r="U264" s="542">
        <v>204</v>
      </c>
      <c r="V264" s="831"/>
      <c r="W264" s="830"/>
      <c r="AL264" s="15"/>
    </row>
    <row r="265" spans="2:38">
      <c r="B265" s="542">
        <v>205</v>
      </c>
      <c r="C265" s="831"/>
      <c r="D265" s="830"/>
      <c r="S265" s="15"/>
      <c r="U265" s="542">
        <v>205</v>
      </c>
      <c r="V265" s="831"/>
      <c r="W265" s="830"/>
      <c r="AL265" s="15"/>
    </row>
    <row r="266" spans="2:38">
      <c r="B266" s="542">
        <v>206</v>
      </c>
      <c r="C266" s="831"/>
      <c r="D266" s="830"/>
      <c r="S266" s="15"/>
      <c r="U266" s="542">
        <v>206</v>
      </c>
      <c r="V266" s="831"/>
      <c r="W266" s="830"/>
      <c r="AL266" s="15"/>
    </row>
    <row r="267" spans="2:38">
      <c r="B267" s="542">
        <v>207</v>
      </c>
      <c r="C267" s="831"/>
      <c r="D267" s="830"/>
      <c r="S267" s="15"/>
      <c r="U267" s="542">
        <v>207</v>
      </c>
      <c r="V267" s="831"/>
      <c r="W267" s="830"/>
      <c r="AL267" s="15"/>
    </row>
    <row r="268" spans="2:38">
      <c r="B268" s="542">
        <v>208</v>
      </c>
      <c r="C268" s="831"/>
      <c r="D268" s="830"/>
      <c r="S268" s="15"/>
      <c r="U268" s="542">
        <v>208</v>
      </c>
      <c r="V268" s="831"/>
      <c r="W268" s="830"/>
      <c r="AL268" s="15"/>
    </row>
    <row r="269" spans="2:38">
      <c r="B269" s="542">
        <v>209</v>
      </c>
      <c r="C269" s="831"/>
      <c r="D269" s="830"/>
      <c r="S269" s="15"/>
      <c r="U269" s="542">
        <v>209</v>
      </c>
      <c r="V269" s="831"/>
      <c r="W269" s="830"/>
      <c r="AL269" s="15"/>
    </row>
    <row r="270" spans="2:38">
      <c r="B270" s="542">
        <v>210</v>
      </c>
      <c r="C270" s="831"/>
      <c r="D270" s="830"/>
      <c r="S270" s="15"/>
      <c r="U270" s="542">
        <v>210</v>
      </c>
      <c r="V270" s="831"/>
      <c r="W270" s="830"/>
      <c r="AL270" s="15"/>
    </row>
    <row r="271" spans="2:38">
      <c r="B271" s="542">
        <v>211</v>
      </c>
      <c r="C271" s="831"/>
      <c r="D271" s="830"/>
      <c r="S271" s="15"/>
      <c r="U271" s="542">
        <v>211</v>
      </c>
      <c r="V271" s="831"/>
      <c r="W271" s="830"/>
      <c r="AL271" s="15"/>
    </row>
    <row r="272" spans="2:38">
      <c r="B272" s="542">
        <v>212</v>
      </c>
      <c r="C272" s="831"/>
      <c r="D272" s="830"/>
      <c r="S272" s="15"/>
      <c r="U272" s="542">
        <v>212</v>
      </c>
      <c r="V272" s="831"/>
      <c r="W272" s="830"/>
      <c r="AL272" s="15"/>
    </row>
    <row r="273" spans="2:38">
      <c r="B273" s="542">
        <v>213</v>
      </c>
      <c r="C273" s="831"/>
      <c r="D273" s="830"/>
      <c r="S273" s="15"/>
      <c r="U273" s="542">
        <v>213</v>
      </c>
      <c r="V273" s="831"/>
      <c r="W273" s="830"/>
      <c r="AL273" s="15"/>
    </row>
    <row r="274" spans="2:38">
      <c r="B274" s="542">
        <v>214</v>
      </c>
      <c r="C274" s="831"/>
      <c r="D274" s="830"/>
      <c r="S274" s="15"/>
      <c r="U274" s="542">
        <v>214</v>
      </c>
      <c r="V274" s="831"/>
      <c r="W274" s="830"/>
      <c r="AL274" s="15"/>
    </row>
    <row r="275" spans="2:38">
      <c r="B275" s="542">
        <v>215</v>
      </c>
      <c r="C275" s="831"/>
      <c r="D275" s="830"/>
      <c r="S275" s="15"/>
      <c r="U275" s="542">
        <v>215</v>
      </c>
      <c r="V275" s="831"/>
      <c r="W275" s="830"/>
      <c r="AL275" s="15"/>
    </row>
    <row r="276" spans="2:38">
      <c r="B276" s="542">
        <v>216</v>
      </c>
      <c r="C276" s="831"/>
      <c r="D276" s="830"/>
      <c r="S276" s="15"/>
      <c r="U276" s="542">
        <v>216</v>
      </c>
      <c r="V276" s="831"/>
      <c r="W276" s="830"/>
      <c r="AL276" s="15"/>
    </row>
    <row r="277" spans="2:38">
      <c r="B277" s="542">
        <v>217</v>
      </c>
      <c r="C277" s="831"/>
      <c r="D277" s="830"/>
      <c r="S277" s="15"/>
      <c r="U277" s="542">
        <v>217</v>
      </c>
      <c r="V277" s="831"/>
      <c r="W277" s="830"/>
      <c r="AL277" s="15"/>
    </row>
    <row r="278" spans="2:38">
      <c r="B278" s="542">
        <v>218</v>
      </c>
      <c r="C278" s="831"/>
      <c r="D278" s="830"/>
      <c r="S278" s="15"/>
      <c r="U278" s="542">
        <v>218</v>
      </c>
      <c r="V278" s="831"/>
      <c r="W278" s="830"/>
      <c r="AL278" s="15"/>
    </row>
    <row r="279" spans="2:38">
      <c r="B279" s="542">
        <v>219</v>
      </c>
      <c r="C279" s="831"/>
      <c r="D279" s="830"/>
      <c r="S279" s="15"/>
      <c r="U279" s="542">
        <v>219</v>
      </c>
      <c r="V279" s="831"/>
      <c r="W279" s="830"/>
      <c r="AL279" s="15"/>
    </row>
    <row r="280" spans="2:38">
      <c r="B280" s="542">
        <v>220</v>
      </c>
      <c r="C280" s="831"/>
      <c r="D280" s="830"/>
      <c r="S280" s="15"/>
      <c r="U280" s="542">
        <v>220</v>
      </c>
      <c r="V280" s="831"/>
      <c r="W280" s="830"/>
      <c r="AL280" s="15"/>
    </row>
    <row r="281" spans="2:38">
      <c r="B281" s="542">
        <v>221</v>
      </c>
      <c r="C281" s="831"/>
      <c r="D281" s="830"/>
      <c r="S281" s="15"/>
      <c r="U281" s="542">
        <v>221</v>
      </c>
      <c r="V281" s="831"/>
      <c r="W281" s="830"/>
      <c r="AL281" s="15"/>
    </row>
    <row r="282" spans="2:38">
      <c r="B282" s="542">
        <v>222</v>
      </c>
      <c r="C282" s="831"/>
      <c r="D282" s="830"/>
      <c r="S282" s="15"/>
      <c r="U282" s="542">
        <v>222</v>
      </c>
      <c r="V282" s="831"/>
      <c r="W282" s="830"/>
      <c r="AL282" s="15"/>
    </row>
    <row r="283" spans="2:38">
      <c r="B283" s="542">
        <v>223</v>
      </c>
      <c r="C283" s="831"/>
      <c r="D283" s="830"/>
      <c r="S283" s="15"/>
      <c r="U283" s="542">
        <v>223</v>
      </c>
      <c r="V283" s="831"/>
      <c r="W283" s="830"/>
      <c r="AL283" s="15"/>
    </row>
    <row r="284" spans="2:38">
      <c r="B284" s="542">
        <v>224</v>
      </c>
      <c r="C284" s="831"/>
      <c r="D284" s="830"/>
      <c r="S284" s="15"/>
      <c r="U284" s="542">
        <v>224</v>
      </c>
      <c r="V284" s="831"/>
      <c r="W284" s="830"/>
      <c r="AL284" s="15"/>
    </row>
    <row r="285" spans="2:38">
      <c r="B285" s="542">
        <v>225</v>
      </c>
      <c r="C285" s="831"/>
      <c r="D285" s="830"/>
      <c r="S285" s="15"/>
      <c r="U285" s="542">
        <v>225</v>
      </c>
      <c r="V285" s="831"/>
      <c r="W285" s="830"/>
      <c r="AL285" s="15"/>
    </row>
    <row r="286" spans="2:38">
      <c r="B286" s="542">
        <v>226</v>
      </c>
      <c r="C286" s="831"/>
      <c r="D286" s="830"/>
      <c r="S286" s="15"/>
      <c r="U286" s="542">
        <v>226</v>
      </c>
      <c r="V286" s="831"/>
      <c r="W286" s="830"/>
      <c r="AL286" s="15"/>
    </row>
    <row r="287" spans="2:38">
      <c r="B287" s="542">
        <v>227</v>
      </c>
      <c r="C287" s="831"/>
      <c r="D287" s="830"/>
      <c r="S287" s="15"/>
      <c r="U287" s="542">
        <v>227</v>
      </c>
      <c r="V287" s="831"/>
      <c r="W287" s="830"/>
      <c r="AL287" s="15"/>
    </row>
    <row r="288" spans="2:38">
      <c r="B288" s="542">
        <v>228</v>
      </c>
      <c r="C288" s="831"/>
      <c r="D288" s="830"/>
      <c r="S288" s="15"/>
      <c r="U288" s="542">
        <v>228</v>
      </c>
      <c r="V288" s="831"/>
      <c r="W288" s="830"/>
      <c r="AL288" s="15"/>
    </row>
    <row r="289" spans="2:38">
      <c r="B289" s="542">
        <v>229</v>
      </c>
      <c r="C289" s="831"/>
      <c r="D289" s="830"/>
      <c r="S289" s="15"/>
      <c r="U289" s="542">
        <v>229</v>
      </c>
      <c r="V289" s="831"/>
      <c r="W289" s="830"/>
      <c r="AL289" s="15"/>
    </row>
    <row r="290" spans="2:38">
      <c r="B290" s="542">
        <v>230</v>
      </c>
      <c r="C290" s="831"/>
      <c r="D290" s="830"/>
      <c r="S290" s="15"/>
      <c r="U290" s="542">
        <v>230</v>
      </c>
      <c r="V290" s="831"/>
      <c r="W290" s="830"/>
      <c r="AL290" s="15"/>
    </row>
    <row r="291" spans="2:38">
      <c r="B291" s="542">
        <v>231</v>
      </c>
      <c r="C291" s="831"/>
      <c r="D291" s="830"/>
      <c r="S291" s="15"/>
      <c r="U291" s="542">
        <v>231</v>
      </c>
      <c r="V291" s="831"/>
      <c r="W291" s="830"/>
      <c r="AL291" s="15"/>
    </row>
    <row r="292" spans="2:38">
      <c r="B292" s="542">
        <v>232</v>
      </c>
      <c r="C292" s="831"/>
      <c r="D292" s="830"/>
      <c r="S292" s="15"/>
      <c r="U292" s="542">
        <v>232</v>
      </c>
      <c r="V292" s="831"/>
      <c r="W292" s="830"/>
      <c r="AL292" s="15"/>
    </row>
    <row r="293" spans="2:38">
      <c r="B293" s="542">
        <v>233</v>
      </c>
      <c r="C293" s="831"/>
      <c r="D293" s="830"/>
      <c r="S293" s="15"/>
      <c r="U293" s="542">
        <v>233</v>
      </c>
      <c r="V293" s="831"/>
      <c r="W293" s="830"/>
      <c r="AL293" s="15"/>
    </row>
    <row r="294" spans="2:38">
      <c r="B294" s="542">
        <v>234</v>
      </c>
      <c r="C294" s="831"/>
      <c r="D294" s="830"/>
      <c r="S294" s="15"/>
      <c r="U294" s="542">
        <v>234</v>
      </c>
      <c r="V294" s="831"/>
      <c r="W294" s="830"/>
      <c r="AL294" s="15"/>
    </row>
    <row r="295" spans="2:38">
      <c r="B295" s="542">
        <v>235</v>
      </c>
      <c r="C295" s="831"/>
      <c r="D295" s="830"/>
      <c r="S295" s="15"/>
      <c r="U295" s="542">
        <v>235</v>
      </c>
      <c r="V295" s="831"/>
      <c r="W295" s="830"/>
      <c r="AL295" s="15"/>
    </row>
    <row r="296" spans="2:38">
      <c r="B296" s="542">
        <v>236</v>
      </c>
      <c r="C296" s="831"/>
      <c r="D296" s="830"/>
      <c r="S296" s="15"/>
      <c r="U296" s="542">
        <v>236</v>
      </c>
      <c r="V296" s="831"/>
      <c r="W296" s="830"/>
      <c r="AL296" s="15"/>
    </row>
    <row r="297" spans="2:38">
      <c r="B297" s="542">
        <v>237</v>
      </c>
      <c r="C297" s="831"/>
      <c r="D297" s="830"/>
      <c r="S297" s="15"/>
      <c r="U297" s="542">
        <v>237</v>
      </c>
      <c r="V297" s="831"/>
      <c r="W297" s="830"/>
      <c r="AL297" s="15"/>
    </row>
    <row r="298" spans="2:38">
      <c r="B298" s="542">
        <v>238</v>
      </c>
      <c r="C298" s="831"/>
      <c r="D298" s="830"/>
      <c r="S298" s="15"/>
      <c r="U298" s="542">
        <v>238</v>
      </c>
      <c r="V298" s="831"/>
      <c r="W298" s="830"/>
      <c r="AL298" s="15"/>
    </row>
    <row r="299" spans="2:38">
      <c r="B299" s="542">
        <v>239</v>
      </c>
      <c r="C299" s="831"/>
      <c r="D299" s="830"/>
      <c r="S299" s="15"/>
      <c r="U299" s="542">
        <v>239</v>
      </c>
      <c r="V299" s="831"/>
      <c r="W299" s="830"/>
      <c r="AL299" s="15"/>
    </row>
    <row r="300" spans="2:38">
      <c r="B300" s="542">
        <v>240</v>
      </c>
      <c r="C300" s="831"/>
      <c r="D300" s="830"/>
      <c r="S300" s="15"/>
      <c r="U300" s="542">
        <v>240</v>
      </c>
      <c r="V300" s="831"/>
      <c r="W300" s="830"/>
      <c r="AL300" s="15"/>
    </row>
    <row r="301" spans="2:38">
      <c r="B301" s="542">
        <v>241</v>
      </c>
      <c r="C301" s="831"/>
      <c r="D301" s="830"/>
      <c r="S301" s="15"/>
      <c r="U301" s="542">
        <v>241</v>
      </c>
      <c r="V301" s="831"/>
      <c r="W301" s="830"/>
      <c r="AL301" s="15"/>
    </row>
    <row r="302" spans="2:38">
      <c r="B302" s="542">
        <v>242</v>
      </c>
      <c r="C302" s="831"/>
      <c r="D302" s="830"/>
      <c r="S302" s="15"/>
      <c r="U302" s="542">
        <v>242</v>
      </c>
      <c r="V302" s="831"/>
      <c r="W302" s="830"/>
      <c r="AL302" s="15"/>
    </row>
    <row r="303" spans="2:38">
      <c r="B303" s="542">
        <v>243</v>
      </c>
      <c r="C303" s="831"/>
      <c r="D303" s="830"/>
      <c r="S303" s="15"/>
      <c r="U303" s="542">
        <v>243</v>
      </c>
      <c r="V303" s="831"/>
      <c r="W303" s="830"/>
      <c r="AL303" s="15"/>
    </row>
    <row r="304" spans="2:38">
      <c r="B304" s="542">
        <v>244</v>
      </c>
      <c r="C304" s="831"/>
      <c r="D304" s="830"/>
      <c r="S304" s="15"/>
      <c r="U304" s="542">
        <v>244</v>
      </c>
      <c r="V304" s="831"/>
      <c r="W304" s="830"/>
      <c r="AL304" s="15"/>
    </row>
    <row r="305" spans="2:38">
      <c r="B305" s="542">
        <v>245</v>
      </c>
      <c r="C305" s="831"/>
      <c r="D305" s="830"/>
      <c r="S305" s="15"/>
      <c r="U305" s="542">
        <v>245</v>
      </c>
      <c r="V305" s="831"/>
      <c r="W305" s="830"/>
      <c r="AL305" s="15"/>
    </row>
    <row r="306" spans="2:38">
      <c r="B306" s="542">
        <v>246</v>
      </c>
      <c r="C306" s="831"/>
      <c r="D306" s="830"/>
      <c r="S306" s="15"/>
      <c r="U306" s="542">
        <v>246</v>
      </c>
      <c r="V306" s="831"/>
      <c r="W306" s="830"/>
      <c r="AL306" s="15"/>
    </row>
    <row r="307" spans="2:38">
      <c r="B307" s="542">
        <v>247</v>
      </c>
      <c r="C307" s="831"/>
      <c r="D307" s="830"/>
      <c r="S307" s="15"/>
      <c r="U307" s="542">
        <v>247</v>
      </c>
      <c r="V307" s="831"/>
      <c r="W307" s="830"/>
      <c r="AL307" s="15"/>
    </row>
    <row r="308" spans="2:38">
      <c r="B308" s="542">
        <v>248</v>
      </c>
      <c r="C308" s="831"/>
      <c r="D308" s="830"/>
      <c r="S308" s="15"/>
      <c r="U308" s="542">
        <v>248</v>
      </c>
      <c r="V308" s="831"/>
      <c r="W308" s="830"/>
      <c r="AL308" s="15"/>
    </row>
    <row r="309" spans="2:38">
      <c r="B309" s="542">
        <v>249</v>
      </c>
      <c r="C309" s="831"/>
      <c r="D309" s="830"/>
      <c r="S309" s="15"/>
      <c r="U309" s="542">
        <v>249</v>
      </c>
      <c r="V309" s="831"/>
      <c r="W309" s="830"/>
      <c r="AL309" s="15"/>
    </row>
    <row r="310" spans="2:38">
      <c r="B310" s="542">
        <v>250</v>
      </c>
      <c r="C310" s="831"/>
      <c r="D310" s="830"/>
      <c r="S310" s="15"/>
      <c r="U310" s="542">
        <v>250</v>
      </c>
      <c r="V310" s="831"/>
      <c r="W310" s="830"/>
      <c r="AL310" s="15"/>
    </row>
    <row r="311" spans="2:38">
      <c r="B311" s="542">
        <v>251</v>
      </c>
      <c r="C311" s="831"/>
      <c r="D311" s="830"/>
      <c r="S311" s="15"/>
      <c r="U311" s="542">
        <v>251</v>
      </c>
      <c r="V311" s="831"/>
      <c r="W311" s="830"/>
      <c r="AL311" s="15"/>
    </row>
    <row r="312" spans="2:38">
      <c r="B312" s="542">
        <v>252</v>
      </c>
      <c r="C312" s="831"/>
      <c r="D312" s="830"/>
      <c r="S312" s="15"/>
      <c r="U312" s="542">
        <v>252</v>
      </c>
      <c r="V312" s="831"/>
      <c r="W312" s="830"/>
      <c r="AL312" s="15"/>
    </row>
    <row r="313" spans="2:38">
      <c r="B313" s="542">
        <v>253</v>
      </c>
      <c r="C313" s="831"/>
      <c r="D313" s="830"/>
      <c r="S313" s="15"/>
      <c r="U313" s="542">
        <v>253</v>
      </c>
      <c r="V313" s="831"/>
      <c r="W313" s="830"/>
      <c r="AL313" s="15"/>
    </row>
    <row r="314" spans="2:38">
      <c r="B314" s="542">
        <v>254</v>
      </c>
      <c r="C314" s="831"/>
      <c r="D314" s="830"/>
      <c r="S314" s="15"/>
      <c r="U314" s="542">
        <v>254</v>
      </c>
      <c r="V314" s="831"/>
      <c r="W314" s="830"/>
      <c r="AL314" s="15"/>
    </row>
    <row r="315" spans="2:38">
      <c r="B315" s="542">
        <v>255</v>
      </c>
      <c r="C315" s="831"/>
      <c r="D315" s="830"/>
      <c r="S315" s="15"/>
      <c r="U315" s="542">
        <v>255</v>
      </c>
      <c r="V315" s="831"/>
      <c r="W315" s="830"/>
      <c r="AL315" s="15"/>
    </row>
    <row r="316" spans="2:38">
      <c r="B316" s="542">
        <v>256</v>
      </c>
      <c r="C316" s="831"/>
      <c r="D316" s="830"/>
      <c r="S316" s="15"/>
      <c r="U316" s="542">
        <v>256</v>
      </c>
      <c r="V316" s="831"/>
      <c r="W316" s="830"/>
      <c r="AL316" s="15"/>
    </row>
    <row r="317" spans="2:38">
      <c r="B317" s="542">
        <v>257</v>
      </c>
      <c r="C317" s="831"/>
      <c r="D317" s="830"/>
      <c r="S317" s="15"/>
      <c r="U317" s="542">
        <v>257</v>
      </c>
      <c r="V317" s="831"/>
      <c r="W317" s="830"/>
      <c r="AL317" s="15"/>
    </row>
    <row r="318" spans="2:38">
      <c r="B318" s="542">
        <v>258</v>
      </c>
      <c r="C318" s="831"/>
      <c r="D318" s="830"/>
      <c r="S318" s="15"/>
      <c r="U318" s="542">
        <v>258</v>
      </c>
      <c r="V318" s="831"/>
      <c r="W318" s="830"/>
      <c r="AL318" s="15"/>
    </row>
    <row r="319" spans="2:38">
      <c r="B319" s="542">
        <v>259</v>
      </c>
      <c r="C319" s="831"/>
      <c r="D319" s="830"/>
      <c r="S319" s="15"/>
      <c r="U319" s="542">
        <v>259</v>
      </c>
      <c r="V319" s="831"/>
      <c r="W319" s="830"/>
      <c r="AL319" s="15"/>
    </row>
    <row r="320" spans="2:38">
      <c r="B320" s="542">
        <v>260</v>
      </c>
      <c r="C320" s="831"/>
      <c r="D320" s="830"/>
      <c r="S320" s="15"/>
      <c r="U320" s="542">
        <v>260</v>
      </c>
      <c r="V320" s="831"/>
      <c r="W320" s="830"/>
      <c r="AL320" s="15"/>
    </row>
    <row r="321" spans="2:38">
      <c r="B321" s="542">
        <v>261</v>
      </c>
      <c r="C321" s="831"/>
      <c r="D321" s="830"/>
      <c r="S321" s="15"/>
      <c r="U321" s="542">
        <v>261</v>
      </c>
      <c r="V321" s="831"/>
      <c r="W321" s="830"/>
      <c r="AL321" s="15"/>
    </row>
    <row r="322" spans="2:38">
      <c r="B322" s="542">
        <v>262</v>
      </c>
      <c r="C322" s="831"/>
      <c r="D322" s="830"/>
      <c r="S322" s="15"/>
      <c r="U322" s="542">
        <v>262</v>
      </c>
      <c r="V322" s="831"/>
      <c r="W322" s="830"/>
      <c r="AL322" s="15"/>
    </row>
    <row r="323" spans="2:38">
      <c r="B323" s="542">
        <v>263</v>
      </c>
      <c r="C323" s="831"/>
      <c r="D323" s="830"/>
      <c r="S323" s="15"/>
      <c r="U323" s="542">
        <v>263</v>
      </c>
      <c r="V323" s="831"/>
      <c r="W323" s="830"/>
      <c r="AL323" s="15"/>
    </row>
    <row r="324" spans="2:38">
      <c r="B324" s="542">
        <v>264</v>
      </c>
      <c r="C324" s="831"/>
      <c r="D324" s="830"/>
      <c r="S324" s="15"/>
      <c r="U324" s="542">
        <v>264</v>
      </c>
      <c r="V324" s="831"/>
      <c r="W324" s="830"/>
      <c r="AL324" s="15"/>
    </row>
    <row r="325" spans="2:38">
      <c r="B325" s="542">
        <v>265</v>
      </c>
      <c r="C325" s="831"/>
      <c r="D325" s="830"/>
      <c r="S325" s="15"/>
      <c r="U325" s="542">
        <v>265</v>
      </c>
      <c r="V325" s="831"/>
      <c r="W325" s="830"/>
      <c r="AL325" s="15"/>
    </row>
    <row r="326" spans="2:38">
      <c r="B326" s="542">
        <v>266</v>
      </c>
      <c r="C326" s="831"/>
      <c r="D326" s="830"/>
      <c r="S326" s="15"/>
      <c r="U326" s="542">
        <v>266</v>
      </c>
      <c r="V326" s="831"/>
      <c r="W326" s="830"/>
      <c r="AL326" s="15"/>
    </row>
    <row r="327" spans="2:38">
      <c r="B327" s="542">
        <v>267</v>
      </c>
      <c r="C327" s="831"/>
      <c r="D327" s="830"/>
      <c r="S327" s="15"/>
      <c r="U327" s="542">
        <v>267</v>
      </c>
      <c r="V327" s="831"/>
      <c r="W327" s="830"/>
      <c r="AL327" s="15"/>
    </row>
    <row r="328" spans="2:38">
      <c r="B328" s="542">
        <v>268</v>
      </c>
      <c r="C328" s="831"/>
      <c r="D328" s="830"/>
      <c r="S328" s="15"/>
      <c r="U328" s="542">
        <v>268</v>
      </c>
      <c r="V328" s="831"/>
      <c r="W328" s="830"/>
      <c r="AL328" s="15"/>
    </row>
    <row r="329" spans="2:38">
      <c r="B329" s="542">
        <v>269</v>
      </c>
      <c r="C329" s="831"/>
      <c r="D329" s="830"/>
      <c r="S329" s="15"/>
      <c r="U329" s="542">
        <v>269</v>
      </c>
      <c r="V329" s="831"/>
      <c r="W329" s="830"/>
      <c r="AL329" s="15"/>
    </row>
    <row r="330" spans="2:38">
      <c r="B330" s="542">
        <v>270</v>
      </c>
      <c r="C330" s="831"/>
      <c r="D330" s="830"/>
      <c r="S330" s="15"/>
      <c r="U330" s="542">
        <v>270</v>
      </c>
      <c r="V330" s="831"/>
      <c r="W330" s="830"/>
      <c r="AL330" s="15"/>
    </row>
    <row r="331" spans="2:38">
      <c r="B331" s="542">
        <v>271</v>
      </c>
      <c r="C331" s="831"/>
      <c r="D331" s="830"/>
      <c r="S331" s="15"/>
      <c r="U331" s="542">
        <v>271</v>
      </c>
      <c r="V331" s="831"/>
      <c r="W331" s="830"/>
      <c r="AL331" s="15"/>
    </row>
    <row r="332" spans="2:38">
      <c r="B332" s="542">
        <v>272</v>
      </c>
      <c r="C332" s="831"/>
      <c r="D332" s="830"/>
      <c r="S332" s="15"/>
      <c r="U332" s="542">
        <v>272</v>
      </c>
      <c r="V332" s="831"/>
      <c r="W332" s="830"/>
      <c r="AL332" s="15"/>
    </row>
    <row r="333" spans="2:38">
      <c r="B333" s="542">
        <v>273</v>
      </c>
      <c r="C333" s="831"/>
      <c r="D333" s="830"/>
      <c r="S333" s="15"/>
      <c r="U333" s="542">
        <v>273</v>
      </c>
      <c r="V333" s="831"/>
      <c r="W333" s="830"/>
      <c r="AL333" s="15"/>
    </row>
    <row r="334" spans="2:38">
      <c r="B334" s="542">
        <v>274</v>
      </c>
      <c r="C334" s="831"/>
      <c r="D334" s="830"/>
      <c r="S334" s="15"/>
      <c r="U334" s="542">
        <v>274</v>
      </c>
      <c r="V334" s="831"/>
      <c r="W334" s="830"/>
      <c r="AL334" s="15"/>
    </row>
    <row r="335" spans="2:38">
      <c r="B335" s="542">
        <v>275</v>
      </c>
      <c r="C335" s="831"/>
      <c r="D335" s="830"/>
      <c r="S335" s="15"/>
      <c r="U335" s="542">
        <v>275</v>
      </c>
      <c r="V335" s="831"/>
      <c r="W335" s="830"/>
      <c r="AL335" s="15"/>
    </row>
    <row r="336" spans="2:38">
      <c r="B336" s="542">
        <v>276</v>
      </c>
      <c r="C336" s="831"/>
      <c r="D336" s="830"/>
      <c r="S336" s="15"/>
      <c r="U336" s="542">
        <v>276</v>
      </c>
      <c r="V336" s="831"/>
      <c r="W336" s="830"/>
      <c r="AL336" s="15"/>
    </row>
    <row r="337" spans="2:38">
      <c r="B337" s="542">
        <v>277</v>
      </c>
      <c r="C337" s="831"/>
      <c r="D337" s="830"/>
      <c r="S337" s="15"/>
      <c r="U337" s="542">
        <v>277</v>
      </c>
      <c r="V337" s="831"/>
      <c r="W337" s="830"/>
      <c r="AL337" s="15"/>
    </row>
    <row r="338" spans="2:38">
      <c r="B338" s="542">
        <v>278</v>
      </c>
      <c r="C338" s="831"/>
      <c r="D338" s="830"/>
      <c r="S338" s="15"/>
      <c r="U338" s="542">
        <v>278</v>
      </c>
      <c r="V338" s="831"/>
      <c r="W338" s="830"/>
      <c r="AL338" s="15"/>
    </row>
    <row r="339" spans="2:38">
      <c r="B339" s="542">
        <v>279</v>
      </c>
      <c r="C339" s="831"/>
      <c r="D339" s="830"/>
      <c r="S339" s="15"/>
      <c r="U339" s="542">
        <v>279</v>
      </c>
      <c r="V339" s="831"/>
      <c r="W339" s="830"/>
      <c r="AL339" s="15"/>
    </row>
    <row r="340" spans="2:38">
      <c r="B340" s="542">
        <v>280</v>
      </c>
      <c r="C340" s="831"/>
      <c r="D340" s="830"/>
      <c r="S340" s="15"/>
      <c r="U340" s="542">
        <v>280</v>
      </c>
      <c r="V340" s="831"/>
      <c r="W340" s="830"/>
      <c r="AL340" s="15"/>
    </row>
    <row r="341" spans="2:38">
      <c r="B341" s="542">
        <v>281</v>
      </c>
      <c r="C341" s="831"/>
      <c r="D341" s="830"/>
      <c r="S341" s="15"/>
      <c r="U341" s="542">
        <v>281</v>
      </c>
      <c r="V341" s="831"/>
      <c r="W341" s="830"/>
      <c r="AL341" s="15"/>
    </row>
    <row r="342" spans="2:38">
      <c r="B342" s="542">
        <v>282</v>
      </c>
      <c r="C342" s="831"/>
      <c r="D342" s="830"/>
      <c r="S342" s="15"/>
      <c r="U342" s="542">
        <v>282</v>
      </c>
      <c r="V342" s="831"/>
      <c r="W342" s="830"/>
      <c r="AL342" s="15"/>
    </row>
    <row r="343" spans="2:38">
      <c r="B343" s="542">
        <v>283</v>
      </c>
      <c r="C343" s="831"/>
      <c r="D343" s="830"/>
      <c r="S343" s="15"/>
      <c r="U343" s="542">
        <v>283</v>
      </c>
      <c r="V343" s="831"/>
      <c r="W343" s="830"/>
      <c r="AL343" s="15"/>
    </row>
    <row r="344" spans="2:38">
      <c r="B344" s="542">
        <v>284</v>
      </c>
      <c r="C344" s="831"/>
      <c r="D344" s="830"/>
      <c r="S344" s="15"/>
      <c r="U344" s="542">
        <v>284</v>
      </c>
      <c r="V344" s="831"/>
      <c r="W344" s="830"/>
      <c r="AL344" s="15"/>
    </row>
    <row r="345" spans="2:38">
      <c r="B345" s="542">
        <v>285</v>
      </c>
      <c r="C345" s="831"/>
      <c r="D345" s="830"/>
      <c r="S345" s="15"/>
      <c r="U345" s="542">
        <v>285</v>
      </c>
      <c r="V345" s="831"/>
      <c r="W345" s="830"/>
      <c r="AL345" s="15"/>
    </row>
    <row r="346" spans="2:38">
      <c r="B346" s="542">
        <v>286</v>
      </c>
      <c r="C346" s="831"/>
      <c r="D346" s="830"/>
      <c r="S346" s="15"/>
      <c r="U346" s="542">
        <v>286</v>
      </c>
      <c r="V346" s="831"/>
      <c r="W346" s="830"/>
      <c r="AL346" s="15"/>
    </row>
    <row r="347" spans="2:38">
      <c r="B347" s="542">
        <v>287</v>
      </c>
      <c r="C347" s="831"/>
      <c r="D347" s="830"/>
      <c r="S347" s="15"/>
      <c r="U347" s="542">
        <v>287</v>
      </c>
      <c r="V347" s="831"/>
      <c r="W347" s="830"/>
      <c r="AL347" s="15"/>
    </row>
    <row r="348" spans="2:38">
      <c r="B348" s="542">
        <v>288</v>
      </c>
      <c r="C348" s="831"/>
      <c r="D348" s="830"/>
      <c r="S348" s="15"/>
      <c r="U348" s="542">
        <v>288</v>
      </c>
      <c r="V348" s="831"/>
      <c r="W348" s="830"/>
      <c r="AL348" s="15"/>
    </row>
    <row r="349" spans="2:38">
      <c r="B349" s="542">
        <v>289</v>
      </c>
      <c r="C349" s="831"/>
      <c r="D349" s="830"/>
      <c r="S349" s="15"/>
      <c r="U349" s="542">
        <v>289</v>
      </c>
      <c r="V349" s="831"/>
      <c r="W349" s="830"/>
      <c r="AL349" s="15"/>
    </row>
    <row r="350" spans="2:38">
      <c r="B350" s="542">
        <v>290</v>
      </c>
      <c r="C350" s="831"/>
      <c r="D350" s="830"/>
      <c r="S350" s="15"/>
      <c r="U350" s="542">
        <v>290</v>
      </c>
      <c r="V350" s="831"/>
      <c r="W350" s="830"/>
      <c r="AL350" s="15"/>
    </row>
    <row r="351" spans="2:38">
      <c r="B351" s="542">
        <v>291</v>
      </c>
      <c r="C351" s="831"/>
      <c r="D351" s="830"/>
      <c r="S351" s="15"/>
      <c r="U351" s="542">
        <v>291</v>
      </c>
      <c r="V351" s="831"/>
      <c r="W351" s="830"/>
      <c r="AL351" s="15"/>
    </row>
    <row r="352" spans="2:38">
      <c r="B352" s="542">
        <v>292</v>
      </c>
      <c r="C352" s="831"/>
      <c r="D352" s="830"/>
      <c r="S352" s="15"/>
      <c r="U352" s="542">
        <v>292</v>
      </c>
      <c r="V352" s="831"/>
      <c r="W352" s="830"/>
      <c r="AL352" s="15"/>
    </row>
    <row r="353" spans="1:38">
      <c r="B353" s="542">
        <v>293</v>
      </c>
      <c r="C353" s="831"/>
      <c r="D353" s="830"/>
      <c r="S353" s="15"/>
      <c r="U353" s="542">
        <v>293</v>
      </c>
      <c r="V353" s="831"/>
      <c r="W353" s="830"/>
      <c r="AL353" s="15"/>
    </row>
    <row r="354" spans="1:38">
      <c r="B354" s="542">
        <v>294</v>
      </c>
      <c r="C354" s="831"/>
      <c r="D354" s="830"/>
      <c r="S354" s="15"/>
      <c r="U354" s="542">
        <v>294</v>
      </c>
      <c r="V354" s="831"/>
      <c r="W354" s="830"/>
      <c r="AL354" s="15"/>
    </row>
    <row r="355" spans="1:38">
      <c r="B355" s="542">
        <v>295</v>
      </c>
      <c r="C355" s="831"/>
      <c r="D355" s="830"/>
      <c r="S355" s="15"/>
      <c r="U355" s="542">
        <v>295</v>
      </c>
      <c r="V355" s="831"/>
      <c r="W355" s="830"/>
      <c r="AL355" s="15"/>
    </row>
    <row r="356" spans="1:38">
      <c r="B356" s="542">
        <v>296</v>
      </c>
      <c r="C356" s="831"/>
      <c r="D356" s="830"/>
      <c r="S356" s="15"/>
      <c r="U356" s="542">
        <v>296</v>
      </c>
      <c r="V356" s="831"/>
      <c r="W356" s="830"/>
      <c r="AL356" s="15"/>
    </row>
    <row r="357" spans="1:38">
      <c r="B357" s="542">
        <v>297</v>
      </c>
      <c r="C357" s="831"/>
      <c r="D357" s="830"/>
      <c r="S357" s="15"/>
      <c r="U357" s="542">
        <v>297</v>
      </c>
      <c r="V357" s="831"/>
      <c r="W357" s="830"/>
      <c r="AL357" s="15"/>
    </row>
    <row r="358" spans="1:38">
      <c r="B358" s="542">
        <v>298</v>
      </c>
      <c r="C358" s="831"/>
      <c r="D358" s="830"/>
      <c r="S358" s="15"/>
      <c r="U358" s="542">
        <v>298</v>
      </c>
      <c r="V358" s="831"/>
      <c r="W358" s="830"/>
      <c r="AL358" s="15"/>
    </row>
    <row r="359" spans="1:38">
      <c r="B359" s="542">
        <v>299</v>
      </c>
      <c r="C359" s="831"/>
      <c r="D359" s="830"/>
      <c r="S359" s="15"/>
      <c r="U359" s="542">
        <v>299</v>
      </c>
      <c r="V359" s="831"/>
      <c r="W359" s="830"/>
      <c r="AL359" s="15"/>
    </row>
    <row r="360" spans="1:38">
      <c r="B360" s="542">
        <v>300</v>
      </c>
      <c r="C360" s="831"/>
      <c r="D360" s="830"/>
      <c r="S360" s="15"/>
      <c r="U360" s="542">
        <v>300</v>
      </c>
      <c r="V360" s="831"/>
      <c r="W360" s="83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ou5mPw2Gy+m9ylLLgHbQlKpoMKZw9FRgmNOC65k8zPAbj1+qDI6BLTdLJTfsT1yZFANg0cHkeRWYUJMQ83xpSw==" saltValue="U2h4zfy/IDPkvRrb7bY0Cg==" spinCount="100000" sheet="1" scenarios="1" insertHyperlinks="0"/>
  <protectedRanges>
    <protectedRange sqref="A5:AL18 A21:AL44 D48:E49 D52 W48:X49 W52" name="Range1"/>
    <protectedRange sqref="E61:E360" name="Range1_1"/>
    <protectedRange sqref="X61:X360" name="Range1_2"/>
    <protectedRange sqref="C61:D360" name="Range1_3"/>
    <protectedRange sqref="V61:W360" name="Range1_4"/>
  </protectedRanges>
  <mergeCells count="28">
    <mergeCell ref="H60:I60"/>
    <mergeCell ref="AA60:AB60"/>
    <mergeCell ref="D48:E48"/>
    <mergeCell ref="D49:E49"/>
    <mergeCell ref="A5:S5"/>
    <mergeCell ref="A48:C48"/>
    <mergeCell ref="F49:G49"/>
    <mergeCell ref="W48:X48"/>
    <mergeCell ref="A54:C54"/>
    <mergeCell ref="B52:C52"/>
    <mergeCell ref="U52:V52"/>
    <mergeCell ref="T54:V54"/>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s>
  <phoneticPr fontId="2" type="noConversion"/>
  <conditionalFormatting sqref="F49:G49">
    <cfRule type="expression" dxfId="409" priority="3" stopIfTrue="1">
      <formula>$D$49&lt;4000</formula>
    </cfRule>
    <cfRule type="expression" dxfId="408" priority="4" stopIfTrue="1">
      <formula>$D$49&gt;=4000</formula>
    </cfRule>
  </conditionalFormatting>
  <conditionalFormatting sqref="Y49:Z49">
    <cfRule type="expression" dxfId="407" priority="5" stopIfTrue="1">
      <formula>$W$49&lt;7500</formula>
    </cfRule>
    <cfRule type="expression" dxfId="406" priority="6"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sqref="A1:S1"/>
    </sheetView>
  </sheetViews>
  <sheetFormatPr baseColWidth="10" defaultColWidth="11.46484375" defaultRowHeight="12.75"/>
  <cols>
    <col min="1" max="19" width="5" style="123" customWidth="1"/>
    <col min="20" max="16384" width="11.46484375" style="123"/>
  </cols>
  <sheetData>
    <row r="1" spans="1:22" ht="13.15">
      <c r="A1" s="1237" t="s">
        <v>320</v>
      </c>
      <c r="B1" s="1237"/>
      <c r="C1" s="1237"/>
      <c r="D1" s="1237"/>
      <c r="E1" s="1237"/>
      <c r="F1" s="1237"/>
      <c r="G1" s="1237"/>
      <c r="H1" s="1237"/>
      <c r="I1" s="1237"/>
      <c r="J1" s="1237"/>
      <c r="K1" s="1237"/>
      <c r="L1" s="1237"/>
      <c r="M1" s="1237"/>
      <c r="N1" s="1237"/>
      <c r="O1" s="1237"/>
      <c r="P1" s="1237"/>
      <c r="Q1" s="1237"/>
      <c r="R1" s="1237"/>
      <c r="S1" s="1237"/>
    </row>
    <row r="2" spans="1:22">
      <c r="T2" s="162" t="s">
        <v>219</v>
      </c>
      <c r="U2" s="162"/>
      <c r="V2" s="162"/>
    </row>
    <row r="3" spans="1:22">
      <c r="A3" t="s">
        <v>39</v>
      </c>
      <c r="B3"/>
      <c r="C3"/>
      <c r="D3" s="1157" t="str">
        <f>IF('Cover Sheet'!$D$14&gt;0,'Cover Sheet'!$D$14,"")</f>
        <v>Ecole Centrale Lyon</v>
      </c>
      <c r="E3" s="1157"/>
      <c r="F3" s="1157"/>
      <c r="G3" s="1157"/>
      <c r="H3" s="1157"/>
      <c r="I3" s="1157"/>
      <c r="J3" s="1157"/>
      <c r="K3" t="s">
        <v>40</v>
      </c>
      <c r="L3"/>
      <c r="M3"/>
      <c r="N3"/>
      <c r="O3" s="1157" t="str">
        <f>IF('Cover Sheet'!$O$14&gt;0,'Cover Sheet'!$O$14,"")</f>
        <v>81 FSCH</v>
      </c>
      <c r="P3" s="1157"/>
      <c r="Q3" s="1157"/>
      <c r="R3" s="1157"/>
      <c r="S3" s="1157"/>
      <c r="T3" s="685" t="s">
        <v>304</v>
      </c>
    </row>
    <row r="5" spans="1:22" ht="12.75" customHeight="1">
      <c r="A5" s="1211"/>
      <c r="B5" s="1212"/>
      <c r="C5" s="1212"/>
      <c r="D5" s="1212"/>
      <c r="E5" s="1212"/>
      <c r="F5" s="1212"/>
      <c r="G5" s="1212"/>
      <c r="H5" s="1212"/>
      <c r="I5" s="1212"/>
      <c r="J5" s="1212"/>
      <c r="K5" s="1212"/>
      <c r="L5" s="1212"/>
      <c r="M5" s="1212"/>
      <c r="N5" s="1212"/>
      <c r="O5" s="1212"/>
      <c r="P5" s="1212"/>
      <c r="Q5" s="1212"/>
      <c r="R5" s="1212"/>
      <c r="S5" s="1213"/>
    </row>
    <row r="6" spans="1:22">
      <c r="A6" s="28"/>
      <c r="B6" s="28"/>
      <c r="C6" s="26"/>
      <c r="D6" s="28"/>
      <c r="E6" s="26"/>
      <c r="F6" s="26"/>
      <c r="G6" s="26"/>
      <c r="H6" s="26"/>
      <c r="I6" s="26"/>
      <c r="J6" s="26"/>
      <c r="K6" s="26"/>
      <c r="L6" s="26"/>
      <c r="M6" s="26"/>
      <c r="N6" s="26"/>
      <c r="O6" s="26"/>
      <c r="P6" s="26"/>
      <c r="Q6" s="26"/>
      <c r="R6" s="26"/>
      <c r="S6" s="27"/>
    </row>
    <row r="7" spans="1:22">
      <c r="A7" s="28"/>
      <c r="B7" s="388" t="s">
        <v>220</v>
      </c>
      <c r="C7" s="26"/>
      <c r="D7" s="28"/>
      <c r="E7" s="26"/>
      <c r="F7" s="26"/>
      <c r="G7" s="26"/>
      <c r="H7" s="26"/>
      <c r="I7" s="26"/>
      <c r="J7" s="26"/>
      <c r="K7" s="26"/>
      <c r="L7" s="26"/>
      <c r="M7" s="26"/>
      <c r="N7" s="26"/>
      <c r="O7" s="26"/>
      <c r="P7" s="26"/>
      <c r="Q7" s="26"/>
      <c r="R7" s="26"/>
      <c r="S7" s="27"/>
    </row>
    <row r="8" spans="1:22">
      <c r="A8" s="28"/>
      <c r="B8" s="252"/>
      <c r="C8" s="26"/>
      <c r="D8" s="28"/>
      <c r="E8" s="26"/>
      <c r="F8" s="26"/>
      <c r="G8" s="26"/>
      <c r="H8" s="26"/>
      <c r="I8" s="26"/>
      <c r="J8" s="26"/>
      <c r="K8" s="26"/>
      <c r="L8" s="26"/>
      <c r="M8" s="26"/>
      <c r="N8" s="26"/>
      <c r="O8" s="26"/>
      <c r="P8" s="26"/>
      <c r="Q8" s="26"/>
      <c r="R8" s="26"/>
      <c r="S8" s="27"/>
    </row>
    <row r="9" spans="1:22">
      <c r="A9" s="28"/>
      <c r="B9" s="388" t="s">
        <v>221</v>
      </c>
      <c r="C9" s="26"/>
      <c r="D9" s="28"/>
      <c r="E9" s="26"/>
      <c r="F9" s="26"/>
      <c r="G9" s="26"/>
      <c r="H9" s="26"/>
      <c r="I9" s="26"/>
      <c r="J9" s="26"/>
      <c r="K9" s="26"/>
      <c r="L9" s="26"/>
      <c r="M9" s="26"/>
      <c r="N9" s="26"/>
      <c r="O9" s="26"/>
      <c r="P9" s="26"/>
      <c r="Q9" s="26"/>
      <c r="R9" s="26"/>
      <c r="S9" s="27"/>
    </row>
    <row r="10" spans="1:22">
      <c r="A10" s="28"/>
      <c r="B10" s="252"/>
      <c r="C10" s="26"/>
      <c r="D10" s="26"/>
      <c r="E10" s="26"/>
      <c r="F10" s="26"/>
      <c r="G10" s="26"/>
      <c r="H10" s="26"/>
      <c r="I10" s="26"/>
      <c r="J10" s="26"/>
      <c r="K10" s="26"/>
      <c r="L10" s="26"/>
      <c r="M10" s="26"/>
      <c r="N10" s="26"/>
      <c r="O10" s="26"/>
      <c r="P10" s="26"/>
      <c r="Q10" s="26"/>
      <c r="R10" s="26"/>
      <c r="S10" s="27"/>
    </row>
    <row r="11" spans="1:22">
      <c r="A11" s="25"/>
      <c r="B11" s="388" t="s">
        <v>222</v>
      </c>
      <c r="C11" s="26"/>
      <c r="D11" s="26"/>
      <c r="E11" s="26"/>
      <c r="F11" s="26"/>
      <c r="G11" s="26"/>
      <c r="H11" s="26"/>
      <c r="I11" s="26"/>
      <c r="J11" s="26"/>
      <c r="K11" s="26"/>
      <c r="L11" s="26"/>
      <c r="M11" s="26"/>
      <c r="N11" s="26"/>
      <c r="O11" s="26"/>
      <c r="P11" s="26"/>
      <c r="Q11" s="26"/>
      <c r="R11" s="26"/>
      <c r="S11" s="27"/>
    </row>
    <row r="12" spans="1:22">
      <c r="A12" s="177"/>
      <c r="B12" s="252"/>
      <c r="C12" s="178"/>
      <c r="D12" s="178"/>
      <c r="E12" s="178"/>
      <c r="F12" s="178"/>
      <c r="G12" s="178"/>
      <c r="H12" s="178"/>
      <c r="I12" s="178"/>
      <c r="J12" s="178"/>
      <c r="K12" s="178"/>
      <c r="L12" s="178"/>
      <c r="M12" s="178"/>
      <c r="N12" s="178"/>
      <c r="O12" s="178"/>
      <c r="P12" s="178"/>
      <c r="Q12" s="178"/>
      <c r="R12" s="178"/>
      <c r="S12" s="179"/>
    </row>
    <row r="13" spans="1:22">
      <c r="A13" s="177"/>
      <c r="B13" s="251" t="s">
        <v>321</v>
      </c>
      <c r="C13" s="178"/>
      <c r="D13" s="178"/>
      <c r="E13" s="178"/>
      <c r="F13" s="178"/>
      <c r="G13" s="181"/>
      <c r="H13" s="178"/>
      <c r="I13" s="178"/>
      <c r="J13" s="178"/>
      <c r="K13" s="178"/>
      <c r="L13" s="178"/>
      <c r="M13" s="178"/>
      <c r="N13" s="178"/>
      <c r="O13" s="178"/>
      <c r="P13" s="178"/>
      <c r="Q13" s="178"/>
      <c r="R13" s="178"/>
      <c r="S13" s="179"/>
    </row>
    <row r="14" spans="1:22">
      <c r="A14" s="177"/>
      <c r="B14" s="178"/>
      <c r="C14" s="178"/>
      <c r="D14" s="178"/>
      <c r="E14" s="178"/>
      <c r="F14" s="178"/>
      <c r="G14" s="178"/>
      <c r="H14" s="178"/>
      <c r="I14" s="178"/>
      <c r="J14" s="178"/>
      <c r="K14" s="178"/>
      <c r="L14" s="178"/>
      <c r="M14" s="178"/>
      <c r="N14" s="178"/>
      <c r="O14" s="178"/>
      <c r="P14" s="178"/>
      <c r="Q14" s="178"/>
      <c r="R14" s="178"/>
      <c r="S14" s="179"/>
    </row>
    <row r="15" spans="1:22">
      <c r="A15" s="177"/>
      <c r="B15" s="178"/>
      <c r="C15" s="178"/>
      <c r="D15" s="178"/>
      <c r="E15" s="178"/>
      <c r="F15" s="178"/>
      <c r="G15" s="178"/>
      <c r="H15" s="178"/>
      <c r="I15" s="178"/>
      <c r="J15" s="178"/>
      <c r="K15" s="178"/>
      <c r="L15" s="178"/>
      <c r="M15" s="178"/>
      <c r="N15" s="178"/>
      <c r="O15" s="178"/>
      <c r="P15" s="178"/>
      <c r="Q15" s="178"/>
      <c r="R15" s="178"/>
      <c r="S15" s="179"/>
    </row>
    <row r="16" spans="1:22">
      <c r="A16" s="177"/>
      <c r="B16" s="178"/>
      <c r="C16" s="178"/>
      <c r="D16" s="178"/>
      <c r="E16" s="178"/>
      <c r="F16" s="178"/>
      <c r="G16" s="178"/>
      <c r="H16" s="178"/>
      <c r="I16" s="178"/>
      <c r="J16" s="178"/>
      <c r="K16" s="178"/>
      <c r="L16" s="178"/>
      <c r="M16" s="178"/>
      <c r="N16" s="178"/>
      <c r="O16" s="178"/>
      <c r="P16" s="178"/>
      <c r="Q16" s="178"/>
      <c r="R16" s="178"/>
      <c r="S16" s="179"/>
    </row>
    <row r="17" spans="1:19">
      <c r="A17" s="177"/>
      <c r="B17" s="178"/>
      <c r="C17" s="178"/>
      <c r="D17" s="178"/>
      <c r="E17" s="178"/>
      <c r="F17" s="178"/>
      <c r="G17" s="178"/>
      <c r="H17" s="178"/>
      <c r="I17" s="178"/>
      <c r="J17" s="178"/>
      <c r="K17" s="178"/>
      <c r="L17" s="178"/>
      <c r="M17" s="178"/>
      <c r="N17" s="178"/>
      <c r="O17" s="178"/>
      <c r="P17" s="178"/>
      <c r="Q17" s="178"/>
      <c r="R17" s="178"/>
      <c r="S17" s="179"/>
    </row>
    <row r="18" spans="1:19">
      <c r="A18" s="182"/>
      <c r="B18" s="183"/>
      <c r="C18" s="183"/>
      <c r="D18" s="183"/>
      <c r="E18" s="184"/>
      <c r="F18" s="184"/>
      <c r="G18" s="183"/>
      <c r="H18" s="184"/>
      <c r="I18" s="183"/>
      <c r="J18" s="183"/>
      <c r="K18" s="183"/>
      <c r="L18" s="183"/>
      <c r="M18" s="183"/>
      <c r="N18" s="183"/>
      <c r="O18" s="183"/>
      <c r="P18" s="183"/>
      <c r="Q18" s="183"/>
      <c r="R18" s="183"/>
      <c r="S18" s="185"/>
    </row>
    <row r="19" spans="1:19">
      <c r="A19" s="290" t="s">
        <v>322</v>
      </c>
      <c r="B19" s="186"/>
      <c r="C19" s="186"/>
      <c r="D19" s="186"/>
      <c r="E19" s="186"/>
      <c r="F19" s="186"/>
      <c r="G19" s="186"/>
      <c r="H19" s="186"/>
      <c r="I19" s="186"/>
      <c r="J19" s="186"/>
      <c r="K19" s="186"/>
      <c r="L19" s="186"/>
      <c r="M19" s="186"/>
      <c r="N19" s="186"/>
      <c r="O19" s="186"/>
      <c r="P19" s="186"/>
      <c r="Q19" s="186"/>
      <c r="R19" s="186"/>
      <c r="S19" s="187"/>
    </row>
    <row r="20" spans="1:19">
      <c r="A20" s="188"/>
      <c r="B20" s="186"/>
      <c r="C20" s="186"/>
      <c r="D20" s="186"/>
      <c r="E20" s="186"/>
      <c r="F20" s="186"/>
      <c r="G20" s="186"/>
      <c r="H20" s="186"/>
      <c r="I20" s="186"/>
      <c r="J20" s="186"/>
      <c r="K20" s="186"/>
      <c r="L20" s="186"/>
      <c r="M20" s="186"/>
      <c r="N20" s="186"/>
      <c r="O20" s="186"/>
      <c r="P20" s="186"/>
      <c r="Q20" s="186"/>
      <c r="R20" s="186"/>
      <c r="S20" s="187"/>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388" t="s">
        <v>225</v>
      </c>
      <c r="C23" s="26"/>
      <c r="D23" s="26"/>
      <c r="E23" s="26"/>
      <c r="F23" s="26"/>
      <c r="G23" s="26"/>
      <c r="H23" s="26"/>
      <c r="I23" s="26"/>
      <c r="J23" s="26"/>
      <c r="K23" s="26"/>
      <c r="L23" s="26"/>
      <c r="M23" s="26"/>
      <c r="N23" s="26"/>
      <c r="O23" s="26"/>
      <c r="P23" s="26"/>
      <c r="Q23" s="26"/>
      <c r="R23" s="26"/>
      <c r="S23" s="27"/>
    </row>
    <row r="24" spans="1:19">
      <c r="A24" s="25"/>
      <c r="B24" s="249"/>
      <c r="C24" s="26"/>
      <c r="D24" s="26"/>
      <c r="E24" s="26"/>
      <c r="F24" s="26"/>
      <c r="G24" s="26"/>
      <c r="H24" s="26"/>
      <c r="I24" s="26"/>
      <c r="J24" s="26"/>
      <c r="K24" s="26"/>
      <c r="L24" s="26"/>
      <c r="M24" s="26"/>
      <c r="N24" s="26"/>
      <c r="O24" s="26"/>
      <c r="P24" s="26"/>
      <c r="Q24" s="26"/>
      <c r="R24" s="26"/>
      <c r="S24" s="27"/>
    </row>
    <row r="25" spans="1:19">
      <c r="A25" s="25"/>
      <c r="B25" s="388" t="s">
        <v>226</v>
      </c>
      <c r="C25" s="26"/>
      <c r="D25" s="26"/>
      <c r="E25" s="26"/>
      <c r="F25" s="26"/>
      <c r="G25" s="26"/>
      <c r="H25" s="26"/>
      <c r="I25" s="26"/>
      <c r="J25" s="26"/>
      <c r="K25" s="26"/>
      <c r="L25" s="26"/>
      <c r="M25" s="26"/>
      <c r="N25" s="26"/>
      <c r="O25" s="26"/>
      <c r="P25" s="26"/>
      <c r="Q25" s="26"/>
      <c r="R25" s="26"/>
      <c r="S25" s="27"/>
    </row>
    <row r="26" spans="1:19">
      <c r="A26" s="25"/>
      <c r="B26" s="249"/>
      <c r="C26" s="26"/>
      <c r="D26" s="26"/>
      <c r="E26" s="26"/>
      <c r="F26" s="26"/>
      <c r="G26" s="26"/>
      <c r="H26" s="26"/>
      <c r="I26" s="26"/>
      <c r="J26" s="26"/>
      <c r="K26" s="26"/>
      <c r="L26" s="26"/>
      <c r="M26" s="26"/>
      <c r="N26" s="26"/>
      <c r="O26" s="26"/>
      <c r="P26" s="26"/>
      <c r="Q26" s="26"/>
      <c r="R26" s="26"/>
      <c r="S26" s="27"/>
    </row>
    <row r="27" spans="1:19">
      <c r="A27" s="25"/>
      <c r="B27" s="388" t="s">
        <v>227</v>
      </c>
      <c r="C27" s="26"/>
      <c r="D27" s="26"/>
      <c r="E27" s="26"/>
      <c r="F27" s="26"/>
      <c r="G27" s="26"/>
      <c r="H27" s="26"/>
      <c r="I27" s="26"/>
      <c r="J27" s="26"/>
      <c r="K27" s="26"/>
      <c r="L27" s="26"/>
      <c r="M27" s="26"/>
      <c r="N27" s="26"/>
      <c r="O27" s="26"/>
      <c r="P27" s="26"/>
      <c r="Q27" s="26"/>
      <c r="R27" s="26"/>
      <c r="S27" s="27"/>
    </row>
    <row r="28" spans="1:19">
      <c r="A28" s="177"/>
      <c r="B28" s="252"/>
      <c r="C28" s="23"/>
      <c r="D28" s="23"/>
      <c r="E28" s="23"/>
      <c r="F28" s="23"/>
      <c r="G28" s="23"/>
      <c r="H28" s="23"/>
      <c r="I28" s="178"/>
      <c r="J28" s="178"/>
      <c r="K28" s="178"/>
      <c r="L28" s="178"/>
      <c r="M28" s="178"/>
      <c r="N28" s="178"/>
      <c r="O28" s="178"/>
      <c r="P28" s="178"/>
      <c r="Q28" s="178"/>
      <c r="R28" s="178"/>
      <c r="S28" s="179"/>
    </row>
    <row r="29" spans="1:19">
      <c r="A29" s="177"/>
      <c r="B29" s="388" t="s">
        <v>228</v>
      </c>
      <c r="C29" s="23"/>
      <c r="D29" s="23"/>
      <c r="E29" s="23"/>
      <c r="F29" s="23"/>
      <c r="G29" s="23"/>
      <c r="H29" s="23"/>
      <c r="I29" s="178"/>
      <c r="J29" s="178"/>
      <c r="K29" s="178"/>
      <c r="L29" s="178"/>
      <c r="M29" s="178"/>
      <c r="N29" s="178"/>
      <c r="O29" s="178"/>
      <c r="P29" s="178"/>
      <c r="Q29" s="178"/>
      <c r="R29" s="178"/>
      <c r="S29" s="179"/>
    </row>
    <row r="30" spans="1:19">
      <c r="A30" s="177"/>
      <c r="B30" s="388" t="s">
        <v>229</v>
      </c>
      <c r="C30" s="23"/>
      <c r="D30" s="23"/>
      <c r="E30" s="23"/>
      <c r="F30" s="23"/>
      <c r="G30" s="23"/>
      <c r="H30" s="23"/>
      <c r="I30" s="178"/>
      <c r="J30" s="178"/>
      <c r="K30" s="178"/>
      <c r="L30" s="178"/>
      <c r="M30" s="178"/>
      <c r="N30" s="178"/>
      <c r="O30" s="178"/>
      <c r="P30" s="178"/>
      <c r="Q30" s="178"/>
      <c r="R30" s="178"/>
      <c r="S30" s="179"/>
    </row>
    <row r="31" spans="1:19">
      <c r="A31" s="177"/>
      <c r="B31" s="26"/>
      <c r="C31" s="178"/>
      <c r="D31" s="178"/>
      <c r="E31" s="178"/>
      <c r="F31" s="178"/>
      <c r="G31" s="178"/>
      <c r="H31" s="178"/>
      <c r="I31" s="178"/>
      <c r="J31" s="178"/>
      <c r="K31" s="178"/>
      <c r="L31" s="178"/>
      <c r="M31" s="178"/>
      <c r="N31" s="178"/>
      <c r="O31" s="178"/>
      <c r="P31" s="178"/>
      <c r="Q31" s="178"/>
      <c r="R31" s="178"/>
      <c r="S31" s="179"/>
    </row>
    <row r="32" spans="1:19">
      <c r="A32" s="177"/>
      <c r="B32" s="178"/>
      <c r="C32" s="178"/>
      <c r="D32" s="178"/>
      <c r="E32" s="180"/>
      <c r="F32" s="180"/>
      <c r="G32" s="181"/>
      <c r="H32" s="178"/>
      <c r="I32" s="178"/>
      <c r="J32" s="178"/>
      <c r="K32" s="178"/>
      <c r="L32" s="178"/>
      <c r="M32" s="178"/>
      <c r="N32" s="178"/>
      <c r="O32" s="178"/>
      <c r="P32" s="178"/>
      <c r="Q32" s="178"/>
      <c r="R32" s="178"/>
      <c r="S32" s="179"/>
    </row>
    <row r="33" spans="1:19">
      <c r="A33" s="177"/>
      <c r="B33" s="178"/>
      <c r="C33" s="178"/>
      <c r="D33" s="181"/>
      <c r="E33" s="180"/>
      <c r="F33" s="178"/>
      <c r="G33" s="180"/>
      <c r="H33" s="178"/>
      <c r="I33" s="178"/>
      <c r="J33" s="178"/>
      <c r="K33" s="178"/>
      <c r="L33" s="178"/>
      <c r="M33" s="178"/>
      <c r="N33" s="178"/>
      <c r="O33" s="178"/>
      <c r="P33" s="178"/>
      <c r="Q33" s="178"/>
      <c r="R33" s="178"/>
      <c r="S33" s="179"/>
    </row>
    <row r="34" spans="1:19">
      <c r="A34" s="177"/>
      <c r="B34" s="178"/>
      <c r="C34" s="178"/>
      <c r="D34" s="178"/>
      <c r="E34" s="178"/>
      <c r="F34" s="178"/>
      <c r="G34" s="181"/>
      <c r="H34" s="178"/>
      <c r="I34" s="178"/>
      <c r="J34" s="178"/>
      <c r="K34" s="178"/>
      <c r="L34" s="178"/>
      <c r="M34" s="178"/>
      <c r="N34" s="178"/>
      <c r="O34" s="178"/>
      <c r="P34" s="178"/>
      <c r="Q34" s="178"/>
      <c r="R34" s="178"/>
      <c r="S34" s="179"/>
    </row>
    <row r="35" spans="1:19">
      <c r="A35" s="189"/>
      <c r="B35" s="178"/>
      <c r="C35" s="178"/>
      <c r="D35" s="178"/>
      <c r="E35" s="178"/>
      <c r="F35" s="178"/>
      <c r="G35" s="178"/>
      <c r="H35" s="178"/>
      <c r="I35" s="178"/>
      <c r="J35" s="178"/>
      <c r="K35" s="178"/>
      <c r="L35" s="178"/>
      <c r="M35" s="178"/>
      <c r="N35" s="178"/>
      <c r="O35" s="178"/>
      <c r="P35" s="178"/>
      <c r="Q35" s="178"/>
      <c r="R35" s="178"/>
      <c r="S35" s="179"/>
    </row>
    <row r="36" spans="1:19">
      <c r="A36" s="189"/>
      <c r="B36" s="178"/>
      <c r="C36" s="178"/>
      <c r="D36" s="178"/>
      <c r="E36" s="178"/>
      <c r="F36" s="178"/>
      <c r="G36" s="178"/>
      <c r="H36" s="178"/>
      <c r="I36" s="178"/>
      <c r="J36" s="178"/>
      <c r="K36" s="178"/>
      <c r="L36" s="178"/>
      <c r="M36" s="178"/>
      <c r="N36" s="178"/>
      <c r="O36" s="178"/>
      <c r="P36" s="178"/>
      <c r="Q36" s="178"/>
      <c r="R36" s="178"/>
      <c r="S36" s="179"/>
    </row>
    <row r="37" spans="1:19">
      <c r="A37" s="189"/>
      <c r="B37" s="178"/>
      <c r="C37" s="178"/>
      <c r="D37" s="178"/>
      <c r="E37" s="178"/>
      <c r="F37" s="178"/>
      <c r="G37" s="178"/>
      <c r="H37" s="178"/>
      <c r="I37" s="178"/>
      <c r="J37" s="178"/>
      <c r="K37" s="178"/>
      <c r="L37" s="178"/>
      <c r="M37" s="178"/>
      <c r="N37" s="178"/>
      <c r="O37" s="178"/>
      <c r="P37" s="178"/>
      <c r="Q37" s="178"/>
      <c r="R37" s="178"/>
      <c r="S37" s="179"/>
    </row>
    <row r="38" spans="1:19">
      <c r="A38" s="189"/>
      <c r="B38" s="178"/>
      <c r="C38" s="178"/>
      <c r="D38" s="178"/>
      <c r="E38" s="178"/>
      <c r="F38" s="178"/>
      <c r="G38" s="178"/>
      <c r="H38" s="178"/>
      <c r="I38" s="178"/>
      <c r="J38" s="178"/>
      <c r="K38" s="178"/>
      <c r="L38" s="178"/>
      <c r="M38" s="178"/>
      <c r="N38" s="178"/>
      <c r="O38" s="178"/>
      <c r="P38" s="178"/>
      <c r="Q38" s="178"/>
      <c r="R38" s="178"/>
      <c r="S38" s="179"/>
    </row>
    <row r="39" spans="1:19">
      <c r="A39" s="189"/>
      <c r="B39" s="178"/>
      <c r="C39" s="178"/>
      <c r="D39" s="178"/>
      <c r="E39" s="178"/>
      <c r="F39" s="178"/>
      <c r="G39" s="178"/>
      <c r="H39" s="178"/>
      <c r="I39" s="178"/>
      <c r="J39" s="178"/>
      <c r="K39" s="178"/>
      <c r="L39" s="178"/>
      <c r="M39" s="178"/>
      <c r="N39" s="178"/>
      <c r="O39" s="178"/>
      <c r="P39" s="178"/>
      <c r="Q39" s="178"/>
      <c r="R39" s="178"/>
      <c r="S39" s="179"/>
    </row>
    <row r="40" spans="1:19">
      <c r="A40" s="189"/>
      <c r="B40" s="178"/>
      <c r="C40" s="178"/>
      <c r="D40" s="178"/>
      <c r="E40" s="178"/>
      <c r="F40" s="178"/>
      <c r="G40" s="178"/>
      <c r="H40" s="178"/>
      <c r="I40" s="178"/>
      <c r="J40" s="178"/>
      <c r="K40" s="178"/>
      <c r="L40" s="178"/>
      <c r="M40" s="178"/>
      <c r="N40" s="178"/>
      <c r="O40" s="178"/>
      <c r="P40" s="178"/>
      <c r="Q40" s="178"/>
      <c r="R40" s="178"/>
      <c r="S40" s="179"/>
    </row>
    <row r="41" spans="1:19">
      <c r="A41" s="189"/>
      <c r="B41" s="178"/>
      <c r="C41" s="178"/>
      <c r="D41" s="178"/>
      <c r="E41" s="178"/>
      <c r="F41" s="178"/>
      <c r="G41" s="178"/>
      <c r="H41" s="178"/>
      <c r="I41" s="178"/>
      <c r="J41" s="178"/>
      <c r="K41" s="178"/>
      <c r="L41" s="178"/>
      <c r="M41" s="178"/>
      <c r="N41" s="178"/>
      <c r="O41" s="178"/>
      <c r="P41" s="178"/>
      <c r="Q41" s="178"/>
      <c r="R41" s="178"/>
      <c r="S41" s="179"/>
    </row>
    <row r="42" spans="1:19">
      <c r="A42" s="189"/>
      <c r="B42" s="178"/>
      <c r="C42" s="178"/>
      <c r="D42" s="178"/>
      <c r="E42" s="178"/>
      <c r="F42" s="178"/>
      <c r="G42" s="178"/>
      <c r="H42" s="178"/>
      <c r="I42" s="178"/>
      <c r="J42" s="178"/>
      <c r="K42" s="178"/>
      <c r="L42" s="178"/>
      <c r="M42" s="178"/>
      <c r="N42" s="178"/>
      <c r="O42" s="178"/>
      <c r="P42" s="178"/>
      <c r="Q42" s="178"/>
      <c r="R42" s="178"/>
      <c r="S42" s="179"/>
    </row>
    <row r="43" spans="1:19">
      <c r="A43" s="189"/>
      <c r="B43" s="178"/>
      <c r="C43" s="178"/>
      <c r="D43" s="178"/>
      <c r="E43" s="178"/>
      <c r="F43" s="178"/>
      <c r="G43" s="178"/>
      <c r="H43" s="178"/>
      <c r="I43" s="178"/>
      <c r="J43" s="178"/>
      <c r="K43" s="178"/>
      <c r="L43" s="178"/>
      <c r="M43" s="178"/>
      <c r="N43" s="178"/>
      <c r="O43" s="178"/>
      <c r="P43" s="178"/>
      <c r="Q43" s="178"/>
      <c r="R43" s="178"/>
      <c r="S43" s="179"/>
    </row>
    <row r="44" spans="1:19">
      <c r="A44" s="190"/>
      <c r="B44" s="183"/>
      <c r="C44" s="183"/>
      <c r="D44" s="183"/>
      <c r="E44" s="183"/>
      <c r="F44" s="183"/>
      <c r="G44" s="183"/>
      <c r="H44" s="183"/>
      <c r="I44" s="183"/>
      <c r="J44" s="183"/>
      <c r="K44" s="183"/>
      <c r="L44" s="183"/>
      <c r="M44" s="183"/>
      <c r="N44" s="183"/>
      <c r="O44" s="183"/>
      <c r="P44" s="183"/>
      <c r="Q44" s="183"/>
      <c r="R44" s="183"/>
      <c r="S44" s="185"/>
    </row>
    <row r="45" spans="1:19">
      <c r="A45" s="290" t="s">
        <v>323</v>
      </c>
      <c r="B45" s="186"/>
      <c r="C45" s="186"/>
      <c r="D45" s="186"/>
      <c r="E45" s="186"/>
      <c r="F45" s="186"/>
      <c r="G45" s="186"/>
      <c r="H45" s="186"/>
      <c r="I45" s="186"/>
      <c r="J45" s="186"/>
      <c r="K45" s="186"/>
      <c r="L45" s="186"/>
      <c r="M45" s="186"/>
      <c r="N45" s="186"/>
      <c r="O45" s="186"/>
      <c r="P45" s="186"/>
      <c r="Q45" s="186"/>
      <c r="R45" s="186"/>
      <c r="S45" s="187"/>
    </row>
    <row r="46" spans="1:19">
      <c r="A46" s="188"/>
      <c r="B46" s="186"/>
      <c r="C46" s="186"/>
      <c r="D46" s="186"/>
      <c r="E46" s="186"/>
      <c r="F46" s="186"/>
      <c r="G46" s="186"/>
      <c r="H46" s="186"/>
      <c r="I46" s="186"/>
      <c r="J46" s="186"/>
      <c r="K46" s="186"/>
      <c r="L46" s="186"/>
      <c r="M46" s="186"/>
      <c r="N46" s="186"/>
      <c r="O46" s="186"/>
      <c r="P46" s="186"/>
      <c r="Q46" s="186"/>
      <c r="R46" s="186"/>
      <c r="S46" s="187"/>
    </row>
    <row r="47" spans="1:19">
      <c r="A47" s="191" t="s">
        <v>324</v>
      </c>
      <c r="B47" s="192"/>
      <c r="C47" s="192"/>
      <c r="D47" s="192"/>
      <c r="E47" s="192"/>
      <c r="F47" s="192"/>
      <c r="G47" s="192"/>
      <c r="H47" s="192"/>
      <c r="I47" s="192"/>
      <c r="J47" s="192"/>
      <c r="K47" s="192"/>
      <c r="L47" s="192"/>
      <c r="M47" s="192"/>
      <c r="N47" s="192"/>
      <c r="O47" s="192"/>
      <c r="P47" s="192"/>
      <c r="Q47" s="192"/>
      <c r="R47" s="192"/>
      <c r="S47" s="193"/>
    </row>
    <row r="48" spans="1:19" ht="12.75" customHeight="1">
      <c r="A48" s="1238" t="s">
        <v>242</v>
      </c>
      <c r="B48" s="1239"/>
      <c r="C48" s="1240"/>
      <c r="D48" s="1241"/>
      <c r="E48" s="1242"/>
      <c r="F48" s="191"/>
      <c r="H48" s="194"/>
      <c r="I48" s="192"/>
      <c r="J48" s="192"/>
      <c r="K48" s="192"/>
      <c r="L48" s="192"/>
      <c r="M48" s="192"/>
      <c r="N48" s="192"/>
      <c r="O48" s="192"/>
      <c r="P48" s="192"/>
      <c r="Q48" s="192"/>
      <c r="R48" s="192"/>
      <c r="S48" s="193"/>
    </row>
    <row r="49" spans="1:19">
      <c r="A49" s="195"/>
      <c r="B49" s="192"/>
      <c r="C49" s="192"/>
      <c r="D49" s="192"/>
      <c r="E49" s="192"/>
      <c r="F49" s="192"/>
      <c r="G49" s="192"/>
      <c r="H49" s="192"/>
      <c r="I49" s="192"/>
      <c r="J49" s="192"/>
      <c r="K49" s="192"/>
      <c r="L49" s="192"/>
      <c r="M49" s="192"/>
      <c r="N49" s="192"/>
      <c r="O49" s="192"/>
      <c r="P49" s="192"/>
      <c r="Q49" s="192"/>
      <c r="R49" s="192"/>
      <c r="S49" s="193"/>
    </row>
    <row r="50" spans="1:19">
      <c r="A50" s="196" t="s">
        <v>316</v>
      </c>
      <c r="B50" s="192"/>
      <c r="C50" s="192"/>
      <c r="D50" s="192"/>
      <c r="E50" s="192"/>
      <c r="F50" s="192"/>
      <c r="G50" s="192"/>
      <c r="H50" s="192"/>
      <c r="I50" s="192"/>
      <c r="J50" s="192"/>
      <c r="K50" s="192"/>
      <c r="L50" s="192"/>
      <c r="M50" s="192"/>
      <c r="N50" s="192"/>
      <c r="O50" s="192"/>
      <c r="P50" s="192"/>
      <c r="Q50" s="192"/>
      <c r="R50" s="192"/>
      <c r="S50" s="193"/>
    </row>
    <row r="51" spans="1:19" ht="15.75" customHeight="1">
      <c r="B51" s="1243" t="s">
        <v>317</v>
      </c>
      <c r="C51" s="1244"/>
      <c r="D51" s="1172"/>
      <c r="E51" s="1173"/>
      <c r="F51" s="194"/>
      <c r="G51" s="194"/>
      <c r="H51" s="194"/>
      <c r="I51" s="194"/>
      <c r="J51" s="194"/>
      <c r="K51" s="194"/>
      <c r="L51" s="194"/>
      <c r="M51" s="194"/>
      <c r="N51" s="194"/>
      <c r="O51" s="192"/>
      <c r="P51" s="192"/>
      <c r="Q51" s="192"/>
      <c r="R51" s="192"/>
      <c r="S51" s="193"/>
    </row>
    <row r="52" spans="1:19" ht="15.75" customHeight="1">
      <c r="A52" s="198"/>
      <c r="B52" s="197"/>
      <c r="C52" s="199"/>
      <c r="D52" s="200"/>
      <c r="E52" s="194"/>
      <c r="F52" s="194"/>
      <c r="G52" s="194"/>
      <c r="H52" s="194"/>
      <c r="I52" s="194"/>
      <c r="J52" s="194"/>
      <c r="K52" s="194"/>
      <c r="L52" s="194"/>
      <c r="M52" s="194"/>
      <c r="N52" s="194"/>
      <c r="O52" s="192"/>
      <c r="P52" s="192"/>
      <c r="Q52" s="192"/>
      <c r="R52" s="192"/>
      <c r="S52" s="193"/>
    </row>
    <row r="53" spans="1:19" ht="15.75" customHeight="1">
      <c r="A53" s="1232" t="s">
        <v>318</v>
      </c>
      <c r="B53" s="1233"/>
      <c r="C53" s="1234"/>
      <c r="D53" s="1235">
        <f>IF(D51&gt;0,D48/(PI()*25*D51),0)</f>
        <v>0</v>
      </c>
      <c r="E53" s="1236"/>
      <c r="F53" s="194" t="s">
        <v>319</v>
      </c>
      <c r="G53" s="194"/>
      <c r="H53" s="194"/>
      <c r="I53" s="194"/>
      <c r="J53" s="194"/>
      <c r="K53" s="194"/>
      <c r="L53" s="194"/>
      <c r="M53" s="194"/>
      <c r="N53" s="194"/>
      <c r="O53" s="194"/>
      <c r="P53" s="192"/>
      <c r="Q53" s="192"/>
      <c r="R53" s="192"/>
      <c r="S53" s="193"/>
    </row>
    <row r="54" spans="1:19">
      <c r="A54" s="201"/>
      <c r="B54" s="202"/>
      <c r="C54" s="202"/>
      <c r="D54" s="202"/>
      <c r="E54" s="202"/>
      <c r="F54" s="202"/>
      <c r="G54" s="202"/>
      <c r="H54" s="202"/>
      <c r="I54" s="202"/>
      <c r="J54" s="202"/>
      <c r="K54" s="202"/>
      <c r="L54" s="202"/>
      <c r="M54" s="202"/>
      <c r="N54" s="202"/>
      <c r="O54" s="202"/>
      <c r="P54" s="202"/>
      <c r="Q54" s="202"/>
      <c r="R54" s="202"/>
      <c r="S54" s="203"/>
    </row>
    <row r="55" spans="1:19">
      <c r="A55" s="539" t="s">
        <v>275</v>
      </c>
      <c r="B55"/>
      <c r="C55"/>
      <c r="D55"/>
      <c r="E55"/>
      <c r="F55"/>
      <c r="G55"/>
      <c r="H55"/>
      <c r="I55"/>
      <c r="J55"/>
      <c r="K55"/>
      <c r="L55"/>
      <c r="M55"/>
      <c r="N55"/>
      <c r="O55"/>
      <c r="P55"/>
      <c r="Q55"/>
      <c r="R55"/>
      <c r="S55" s="15"/>
    </row>
    <row r="56" spans="1:19">
      <c r="A56" s="8" t="s">
        <v>276</v>
      </c>
      <c r="B56"/>
      <c r="C56"/>
      <c r="D56"/>
      <c r="E56"/>
      <c r="F56"/>
      <c r="G56"/>
      <c r="H56"/>
      <c r="I56"/>
      <c r="J56"/>
      <c r="K56"/>
      <c r="L56"/>
      <c r="M56"/>
      <c r="N56"/>
      <c r="O56"/>
      <c r="P56"/>
      <c r="Q56"/>
      <c r="R56"/>
      <c r="S56" s="15"/>
    </row>
    <row r="57" spans="1:19">
      <c r="A57" s="8" t="s">
        <v>277</v>
      </c>
      <c r="B57" s="104"/>
      <c r="C57" s="104"/>
      <c r="D57" s="104"/>
      <c r="E57" s="104"/>
      <c r="F57" s="104"/>
      <c r="G57" s="104"/>
      <c r="H57" s="104"/>
      <c r="I57" s="104"/>
      <c r="J57" s="104"/>
      <c r="K57" s="104"/>
      <c r="L57" s="104"/>
      <c r="M57" s="104"/>
      <c r="N57" s="104"/>
      <c r="O57" s="104"/>
      <c r="P57" s="104"/>
      <c r="Q57" s="104"/>
      <c r="R57" s="104"/>
      <c r="S57" s="147"/>
    </row>
    <row r="58" spans="1:19">
      <c r="A58" s="146"/>
      <c r="B58" s="104"/>
      <c r="C58" s="104"/>
      <c r="D58" s="104"/>
      <c r="E58" s="104"/>
      <c r="F58" s="104"/>
      <c r="G58" s="104"/>
      <c r="H58" s="104"/>
      <c r="I58" s="104"/>
      <c r="J58" s="104"/>
      <c r="K58" s="104"/>
      <c r="L58" s="104"/>
      <c r="M58" s="104"/>
      <c r="N58" s="104"/>
      <c r="O58" s="104"/>
      <c r="P58" s="104"/>
      <c r="Q58" s="104"/>
      <c r="R58" s="104"/>
      <c r="S58" s="147"/>
    </row>
    <row r="59" spans="1:19" ht="23.25">
      <c r="A59" s="146"/>
      <c r="B59" s="541"/>
      <c r="C59" s="737" t="s">
        <v>278</v>
      </c>
      <c r="D59" s="738" t="s">
        <v>279</v>
      </c>
      <c r="E59"/>
      <c r="F59"/>
      <c r="G59"/>
      <c r="H59" s="1219"/>
      <c r="I59" s="1219"/>
      <c r="J59"/>
      <c r="K59"/>
      <c r="L59"/>
      <c r="M59"/>
      <c r="N59"/>
      <c r="O59"/>
      <c r="P59"/>
      <c r="Q59"/>
      <c r="R59"/>
      <c r="S59" s="15"/>
    </row>
    <row r="60" spans="1:19" ht="14.25">
      <c r="A60" s="146"/>
      <c r="B60" s="542">
        <v>1</v>
      </c>
      <c r="C60" s="824"/>
      <c r="D60" s="825"/>
      <c r="E60"/>
      <c r="F60"/>
      <c r="G60" s="514"/>
      <c r="H60" s="540"/>
      <c r="I60" s="540"/>
      <c r="J60"/>
      <c r="K60"/>
      <c r="L60"/>
      <c r="M60"/>
      <c r="N60"/>
      <c r="O60"/>
      <c r="P60"/>
      <c r="Q60"/>
      <c r="R60"/>
      <c r="S60" s="15"/>
    </row>
    <row r="61" spans="1:19">
      <c r="A61" s="146"/>
      <c r="B61" s="542">
        <v>2</v>
      </c>
      <c r="C61" s="826"/>
      <c r="D61" s="827"/>
      <c r="E61"/>
      <c r="F61"/>
      <c r="G61" s="1016"/>
      <c r="H61"/>
      <c r="I61"/>
      <c r="J61"/>
      <c r="K61"/>
      <c r="L61"/>
      <c r="M61"/>
      <c r="N61"/>
      <c r="O61"/>
      <c r="P61"/>
      <c r="Q61"/>
      <c r="R61"/>
      <c r="S61" s="15"/>
    </row>
    <row r="62" spans="1:19">
      <c r="A62" s="146"/>
      <c r="B62" s="542">
        <v>3</v>
      </c>
      <c r="C62" s="826"/>
      <c r="D62" s="827"/>
      <c r="E62"/>
      <c r="F62"/>
      <c r="G62" s="1016"/>
      <c r="H62"/>
      <c r="I62"/>
      <c r="J62"/>
      <c r="K62"/>
      <c r="L62"/>
      <c r="M62"/>
      <c r="N62"/>
      <c r="O62"/>
      <c r="P62"/>
      <c r="Q62"/>
      <c r="R62"/>
      <c r="S62" s="15"/>
    </row>
    <row r="63" spans="1:19">
      <c r="A63" s="146"/>
      <c r="B63" s="542">
        <v>4</v>
      </c>
      <c r="C63" s="826"/>
      <c r="D63" s="827"/>
      <c r="E63"/>
      <c r="F63"/>
      <c r="G63"/>
      <c r="H63"/>
      <c r="I63"/>
      <c r="J63"/>
      <c r="K63"/>
      <c r="L63"/>
      <c r="M63"/>
      <c r="N63"/>
      <c r="O63"/>
      <c r="P63"/>
      <c r="Q63"/>
      <c r="R63"/>
      <c r="S63" s="15"/>
    </row>
    <row r="64" spans="1:19">
      <c r="A64" s="146"/>
      <c r="B64" s="542">
        <v>5</v>
      </c>
      <c r="C64" s="826"/>
      <c r="D64" s="827"/>
      <c r="E64"/>
      <c r="F64"/>
      <c r="G64"/>
      <c r="H64"/>
      <c r="I64"/>
      <c r="J64"/>
      <c r="K64"/>
      <c r="L64"/>
      <c r="M64"/>
      <c r="N64"/>
      <c r="O64"/>
      <c r="P64"/>
      <c r="Q64"/>
      <c r="R64"/>
      <c r="S64" s="15"/>
    </row>
    <row r="65" spans="1:19">
      <c r="A65" s="146"/>
      <c r="B65" s="542">
        <v>6</v>
      </c>
      <c r="C65" s="826"/>
      <c r="D65" s="827"/>
      <c r="E65"/>
      <c r="F65"/>
      <c r="G65"/>
      <c r="H65"/>
      <c r="I65"/>
      <c r="J65"/>
      <c r="K65"/>
      <c r="L65"/>
      <c r="M65"/>
      <c r="N65"/>
      <c r="O65"/>
      <c r="P65"/>
      <c r="Q65"/>
      <c r="R65"/>
      <c r="S65" s="15"/>
    </row>
    <row r="66" spans="1:19">
      <c r="A66" s="146"/>
      <c r="B66" s="542">
        <v>7</v>
      </c>
      <c r="C66" s="826"/>
      <c r="D66" s="827"/>
      <c r="E66"/>
      <c r="F66"/>
      <c r="G66"/>
      <c r="H66"/>
      <c r="I66"/>
      <c r="J66"/>
      <c r="K66"/>
      <c r="L66"/>
      <c r="M66"/>
      <c r="N66"/>
      <c r="O66"/>
      <c r="P66"/>
      <c r="Q66"/>
      <c r="R66"/>
      <c r="S66" s="15"/>
    </row>
    <row r="67" spans="1:19">
      <c r="A67" s="146"/>
      <c r="B67" s="542">
        <v>8</v>
      </c>
      <c r="C67" s="826"/>
      <c r="D67" s="827"/>
      <c r="E67"/>
      <c r="F67"/>
      <c r="G67"/>
      <c r="H67"/>
      <c r="I67"/>
      <c r="J67"/>
      <c r="K67"/>
      <c r="L67"/>
      <c r="M67"/>
      <c r="N67"/>
      <c r="O67"/>
      <c r="P67"/>
      <c r="Q67"/>
      <c r="R67"/>
      <c r="S67" s="15"/>
    </row>
    <row r="68" spans="1:19">
      <c r="A68" s="146"/>
      <c r="B68" s="542">
        <v>9</v>
      </c>
      <c r="C68" s="826"/>
      <c r="D68" s="827"/>
      <c r="E68"/>
      <c r="F68"/>
      <c r="G68"/>
      <c r="H68"/>
      <c r="I68"/>
      <c r="J68"/>
      <c r="K68"/>
      <c r="L68"/>
      <c r="M68"/>
      <c r="N68"/>
      <c r="O68"/>
      <c r="P68"/>
      <c r="Q68"/>
      <c r="R68"/>
      <c r="S68" s="15"/>
    </row>
    <row r="69" spans="1:19">
      <c r="A69" s="146"/>
      <c r="B69" s="542">
        <v>10</v>
      </c>
      <c r="C69" s="826"/>
      <c r="D69" s="827"/>
      <c r="E69"/>
      <c r="F69"/>
      <c r="G69"/>
      <c r="H69"/>
      <c r="I69"/>
      <c r="J69"/>
      <c r="K69"/>
      <c r="L69"/>
      <c r="M69"/>
      <c r="N69"/>
      <c r="O69"/>
      <c r="P69"/>
      <c r="Q69"/>
      <c r="R69"/>
      <c r="S69" s="15"/>
    </row>
    <row r="70" spans="1:19">
      <c r="A70" s="146"/>
      <c r="B70" s="542">
        <v>11</v>
      </c>
      <c r="C70" s="826"/>
      <c r="D70" s="827"/>
      <c r="E70"/>
      <c r="F70"/>
      <c r="G70"/>
      <c r="H70"/>
      <c r="I70"/>
      <c r="J70"/>
      <c r="K70"/>
      <c r="L70"/>
      <c r="M70"/>
      <c r="N70"/>
      <c r="O70"/>
      <c r="P70"/>
      <c r="Q70"/>
      <c r="R70"/>
      <c r="S70" s="15"/>
    </row>
    <row r="71" spans="1:19">
      <c r="A71" s="146"/>
      <c r="B71" s="542">
        <v>12</v>
      </c>
      <c r="C71" s="826"/>
      <c r="D71" s="827"/>
      <c r="E71"/>
      <c r="F71"/>
      <c r="G71"/>
      <c r="H71"/>
      <c r="I71"/>
      <c r="J71"/>
      <c r="K71"/>
      <c r="L71"/>
      <c r="M71"/>
      <c r="N71"/>
      <c r="O71"/>
      <c r="P71"/>
      <c r="Q71"/>
      <c r="R71"/>
      <c r="S71" s="15"/>
    </row>
    <row r="72" spans="1:19">
      <c r="A72" s="146"/>
      <c r="B72" s="542">
        <v>13</v>
      </c>
      <c r="C72" s="826"/>
      <c r="D72" s="827"/>
      <c r="E72"/>
      <c r="F72"/>
      <c r="G72"/>
      <c r="H72"/>
      <c r="I72"/>
      <c r="J72"/>
      <c r="K72"/>
      <c r="L72"/>
      <c r="M72"/>
      <c r="N72"/>
      <c r="O72"/>
      <c r="P72"/>
      <c r="Q72"/>
      <c r="R72"/>
      <c r="S72" s="15"/>
    </row>
    <row r="73" spans="1:19">
      <c r="A73" s="146"/>
      <c r="B73" s="542">
        <v>14</v>
      </c>
      <c r="C73" s="826"/>
      <c r="D73" s="827"/>
      <c r="E73"/>
      <c r="F73"/>
      <c r="G73"/>
      <c r="H73"/>
      <c r="I73"/>
      <c r="J73"/>
      <c r="K73"/>
      <c r="L73"/>
      <c r="M73"/>
      <c r="N73"/>
      <c r="O73"/>
      <c r="P73"/>
      <c r="Q73"/>
      <c r="R73"/>
      <c r="S73" s="15"/>
    </row>
    <row r="74" spans="1:19">
      <c r="A74" s="146"/>
      <c r="B74" s="542">
        <v>15</v>
      </c>
      <c r="C74" s="826"/>
      <c r="D74" s="827"/>
      <c r="E74"/>
      <c r="F74"/>
      <c r="G74"/>
      <c r="H74"/>
      <c r="I74"/>
      <c r="J74"/>
      <c r="K74"/>
      <c r="L74"/>
      <c r="M74"/>
      <c r="N74"/>
      <c r="O74"/>
      <c r="P74"/>
      <c r="Q74"/>
      <c r="R74"/>
      <c r="S74" s="15"/>
    </row>
    <row r="75" spans="1:19">
      <c r="A75" s="146"/>
      <c r="B75" s="542">
        <v>16</v>
      </c>
      <c r="C75" s="826"/>
      <c r="D75" s="827"/>
      <c r="E75"/>
      <c r="F75"/>
      <c r="G75"/>
      <c r="H75"/>
      <c r="I75"/>
      <c r="J75"/>
      <c r="K75"/>
      <c r="L75"/>
      <c r="M75"/>
      <c r="N75"/>
      <c r="O75"/>
      <c r="P75"/>
      <c r="Q75"/>
      <c r="R75"/>
      <c r="S75" s="15"/>
    </row>
    <row r="76" spans="1:19">
      <c r="A76" s="146"/>
      <c r="B76" s="542">
        <v>17</v>
      </c>
      <c r="C76" s="826"/>
      <c r="D76" s="827"/>
      <c r="E76"/>
      <c r="F76"/>
      <c r="G76"/>
      <c r="H76"/>
      <c r="I76"/>
      <c r="J76"/>
      <c r="K76"/>
      <c r="L76"/>
      <c r="M76"/>
      <c r="N76"/>
      <c r="O76"/>
      <c r="P76"/>
      <c r="Q76"/>
      <c r="R76"/>
      <c r="S76" s="15"/>
    </row>
    <row r="77" spans="1:19">
      <c r="A77" s="146"/>
      <c r="B77" s="542">
        <v>18</v>
      </c>
      <c r="C77" s="826"/>
      <c r="D77" s="827"/>
      <c r="E77"/>
      <c r="F77"/>
      <c r="G77"/>
      <c r="H77"/>
      <c r="I77"/>
      <c r="J77"/>
      <c r="K77"/>
      <c r="L77"/>
      <c r="M77"/>
      <c r="N77"/>
      <c r="O77"/>
      <c r="P77"/>
      <c r="Q77"/>
      <c r="R77"/>
      <c r="S77" s="15"/>
    </row>
    <row r="78" spans="1:19">
      <c r="A78" s="146"/>
      <c r="B78" s="542">
        <v>19</v>
      </c>
      <c r="C78" s="826"/>
      <c r="D78" s="827"/>
      <c r="E78"/>
      <c r="F78"/>
      <c r="G78"/>
      <c r="H78"/>
      <c r="I78"/>
      <c r="J78"/>
      <c r="K78"/>
      <c r="L78"/>
      <c r="M78"/>
      <c r="N78"/>
      <c r="O78"/>
      <c r="P78"/>
      <c r="Q78"/>
      <c r="R78"/>
      <c r="S78" s="15"/>
    </row>
    <row r="79" spans="1:19">
      <c r="A79" s="146"/>
      <c r="B79" s="542">
        <v>20</v>
      </c>
      <c r="C79" s="826"/>
      <c r="D79" s="827"/>
      <c r="E79"/>
      <c r="F79"/>
      <c r="G79"/>
      <c r="H79"/>
      <c r="I79"/>
      <c r="J79"/>
      <c r="K79"/>
      <c r="L79"/>
      <c r="M79"/>
      <c r="N79"/>
      <c r="O79"/>
      <c r="P79"/>
      <c r="Q79"/>
      <c r="R79"/>
      <c r="S79" s="15"/>
    </row>
    <row r="80" spans="1:19">
      <c r="A80" s="146"/>
      <c r="B80" s="542">
        <v>21</v>
      </c>
      <c r="C80" s="826"/>
      <c r="D80" s="827"/>
      <c r="E80"/>
      <c r="F80"/>
      <c r="G80"/>
      <c r="H80"/>
      <c r="I80"/>
      <c r="J80"/>
      <c r="K80"/>
      <c r="L80"/>
      <c r="M80"/>
      <c r="N80"/>
      <c r="O80"/>
      <c r="P80"/>
      <c r="Q80"/>
      <c r="R80"/>
      <c r="S80" s="15"/>
    </row>
    <row r="81" spans="1:19">
      <c r="A81" s="146"/>
      <c r="B81" s="542">
        <v>22</v>
      </c>
      <c r="C81" s="826"/>
      <c r="D81" s="827"/>
      <c r="E81"/>
      <c r="F81"/>
      <c r="G81"/>
      <c r="H81"/>
      <c r="I81"/>
      <c r="J81"/>
      <c r="K81"/>
      <c r="L81"/>
      <c r="M81"/>
      <c r="N81"/>
      <c r="O81"/>
      <c r="P81"/>
      <c r="Q81"/>
      <c r="R81"/>
      <c r="S81" s="15"/>
    </row>
    <row r="82" spans="1:19">
      <c r="A82" s="146"/>
      <c r="B82" s="542">
        <v>23</v>
      </c>
      <c r="C82" s="826"/>
      <c r="D82" s="827"/>
      <c r="E82"/>
      <c r="F82"/>
      <c r="G82"/>
      <c r="H82"/>
      <c r="I82"/>
      <c r="J82"/>
      <c r="K82"/>
      <c r="L82"/>
      <c r="M82"/>
      <c r="N82"/>
      <c r="O82"/>
      <c r="P82"/>
      <c r="Q82"/>
      <c r="R82"/>
      <c r="S82" s="15"/>
    </row>
    <row r="83" spans="1:19">
      <c r="A83" s="146"/>
      <c r="B83" s="542">
        <v>24</v>
      </c>
      <c r="C83" s="826"/>
      <c r="D83" s="827"/>
      <c r="E83"/>
      <c r="F83"/>
      <c r="G83"/>
      <c r="H83"/>
      <c r="I83"/>
      <c r="J83"/>
      <c r="K83"/>
      <c r="L83"/>
      <c r="M83"/>
      <c r="N83"/>
      <c r="O83"/>
      <c r="P83"/>
      <c r="Q83"/>
      <c r="R83"/>
      <c r="S83" s="15"/>
    </row>
    <row r="84" spans="1:19">
      <c r="A84" s="146"/>
      <c r="B84" s="542">
        <v>25</v>
      </c>
      <c r="C84" s="826"/>
      <c r="D84" s="827"/>
      <c r="E84"/>
      <c r="F84"/>
      <c r="G84"/>
      <c r="H84"/>
      <c r="I84"/>
      <c r="J84"/>
      <c r="K84"/>
      <c r="L84"/>
      <c r="M84"/>
      <c r="N84"/>
      <c r="O84"/>
      <c r="P84"/>
      <c r="Q84"/>
      <c r="R84"/>
      <c r="S84" s="15"/>
    </row>
    <row r="85" spans="1:19">
      <c r="A85" s="146"/>
      <c r="B85" s="542">
        <v>26</v>
      </c>
      <c r="C85" s="826"/>
      <c r="D85" s="827"/>
      <c r="E85"/>
      <c r="F85"/>
      <c r="G85"/>
      <c r="H85"/>
      <c r="I85"/>
      <c r="J85"/>
      <c r="K85"/>
      <c r="L85"/>
      <c r="M85"/>
      <c r="N85"/>
      <c r="O85"/>
      <c r="P85"/>
      <c r="Q85"/>
      <c r="R85"/>
      <c r="S85" s="15"/>
    </row>
    <row r="86" spans="1:19">
      <c r="A86" s="146"/>
      <c r="B86" s="542">
        <v>27</v>
      </c>
      <c r="C86" s="826"/>
      <c r="D86" s="827"/>
      <c r="E86"/>
      <c r="F86"/>
      <c r="G86"/>
      <c r="H86"/>
      <c r="I86"/>
      <c r="J86"/>
      <c r="K86"/>
      <c r="L86"/>
      <c r="M86"/>
      <c r="N86"/>
      <c r="O86"/>
      <c r="P86"/>
      <c r="Q86"/>
      <c r="R86"/>
      <c r="S86" s="15"/>
    </row>
    <row r="87" spans="1:19">
      <c r="A87" s="146"/>
      <c r="B87" s="542">
        <v>28</v>
      </c>
      <c r="C87" s="826"/>
      <c r="D87" s="827"/>
      <c r="E87"/>
      <c r="F87"/>
      <c r="G87"/>
      <c r="H87"/>
      <c r="I87"/>
      <c r="J87"/>
      <c r="K87"/>
      <c r="L87"/>
      <c r="M87"/>
      <c r="N87"/>
      <c r="O87"/>
      <c r="P87"/>
      <c r="Q87"/>
      <c r="R87"/>
      <c r="S87" s="15"/>
    </row>
    <row r="88" spans="1:19">
      <c r="A88" s="146"/>
      <c r="B88" s="542">
        <v>29</v>
      </c>
      <c r="C88" s="826"/>
      <c r="D88" s="827"/>
      <c r="E88"/>
      <c r="F88"/>
      <c r="G88"/>
      <c r="H88"/>
      <c r="I88"/>
      <c r="J88"/>
      <c r="K88"/>
      <c r="L88"/>
      <c r="M88"/>
      <c r="N88"/>
      <c r="O88"/>
      <c r="P88"/>
      <c r="Q88"/>
      <c r="R88"/>
      <c r="S88" s="15"/>
    </row>
    <row r="89" spans="1:19">
      <c r="A89" s="146"/>
      <c r="B89" s="542">
        <v>30</v>
      </c>
      <c r="C89" s="826"/>
      <c r="D89" s="827"/>
      <c r="E89"/>
      <c r="F89"/>
      <c r="G89"/>
      <c r="H89"/>
      <c r="I89"/>
      <c r="J89"/>
      <c r="K89"/>
      <c r="L89"/>
      <c r="M89"/>
      <c r="N89"/>
      <c r="O89"/>
      <c r="P89"/>
      <c r="Q89"/>
      <c r="R89"/>
      <c r="S89" s="15"/>
    </row>
    <row r="90" spans="1:19">
      <c r="A90" s="146"/>
      <c r="B90" s="542">
        <v>31</v>
      </c>
      <c r="C90" s="826"/>
      <c r="D90" s="827"/>
      <c r="E90"/>
      <c r="F90"/>
      <c r="G90"/>
      <c r="H90"/>
      <c r="I90"/>
      <c r="J90"/>
      <c r="K90"/>
      <c r="L90"/>
      <c r="M90"/>
      <c r="N90"/>
      <c r="O90"/>
      <c r="P90"/>
      <c r="Q90"/>
      <c r="R90"/>
      <c r="S90" s="15"/>
    </row>
    <row r="91" spans="1:19">
      <c r="A91" s="146"/>
      <c r="B91" s="542">
        <v>32</v>
      </c>
      <c r="C91" s="826"/>
      <c r="D91" s="827"/>
      <c r="E91"/>
      <c r="F91"/>
      <c r="G91"/>
      <c r="H91"/>
      <c r="I91"/>
      <c r="J91"/>
      <c r="K91"/>
      <c r="L91"/>
      <c r="M91"/>
      <c r="N91"/>
      <c r="O91"/>
      <c r="P91"/>
      <c r="Q91"/>
      <c r="R91"/>
      <c r="S91" s="15"/>
    </row>
    <row r="92" spans="1:19">
      <c r="A92" s="146"/>
      <c r="B92" s="542">
        <v>33</v>
      </c>
      <c r="C92" s="826"/>
      <c r="D92" s="827"/>
      <c r="E92"/>
      <c r="F92"/>
      <c r="G92"/>
      <c r="H92"/>
      <c r="I92"/>
      <c r="J92"/>
      <c r="K92"/>
      <c r="L92"/>
      <c r="M92"/>
      <c r="N92"/>
      <c r="O92"/>
      <c r="P92"/>
      <c r="Q92"/>
      <c r="R92"/>
      <c r="S92" s="15"/>
    </row>
    <row r="93" spans="1:19">
      <c r="A93" s="146"/>
      <c r="B93" s="542">
        <v>34</v>
      </c>
      <c r="C93" s="826"/>
      <c r="D93" s="827"/>
      <c r="E93"/>
      <c r="F93"/>
      <c r="G93"/>
      <c r="H93"/>
      <c r="I93"/>
      <c r="J93"/>
      <c r="K93"/>
      <c r="L93"/>
      <c r="M93"/>
      <c r="N93"/>
      <c r="O93"/>
      <c r="P93"/>
      <c r="Q93"/>
      <c r="R93"/>
      <c r="S93" s="15"/>
    </row>
    <row r="94" spans="1:19">
      <c r="A94" s="146"/>
      <c r="B94" s="542">
        <v>35</v>
      </c>
      <c r="C94" s="826"/>
      <c r="D94" s="827"/>
      <c r="E94"/>
      <c r="F94"/>
      <c r="G94"/>
      <c r="H94"/>
      <c r="I94"/>
      <c r="J94"/>
      <c r="K94"/>
      <c r="L94"/>
      <c r="M94"/>
      <c r="N94"/>
      <c r="O94"/>
      <c r="P94"/>
      <c r="Q94"/>
      <c r="R94"/>
      <c r="S94" s="15"/>
    </row>
    <row r="95" spans="1:19">
      <c r="A95" s="146"/>
      <c r="B95" s="542">
        <v>36</v>
      </c>
      <c r="C95" s="826"/>
      <c r="D95" s="827"/>
      <c r="E95"/>
      <c r="F95"/>
      <c r="G95"/>
      <c r="H95"/>
      <c r="I95"/>
      <c r="J95"/>
      <c r="K95"/>
      <c r="L95"/>
      <c r="M95"/>
      <c r="N95"/>
      <c r="O95"/>
      <c r="P95"/>
      <c r="Q95"/>
      <c r="R95"/>
      <c r="S95" s="15"/>
    </row>
    <row r="96" spans="1:19">
      <c r="A96" s="146"/>
      <c r="B96" s="542">
        <v>37</v>
      </c>
      <c r="C96" s="826"/>
      <c r="D96" s="827"/>
      <c r="E96"/>
      <c r="F96"/>
      <c r="G96"/>
      <c r="H96"/>
      <c r="I96"/>
      <c r="J96"/>
      <c r="K96"/>
      <c r="L96"/>
      <c r="M96"/>
      <c r="N96"/>
      <c r="O96"/>
      <c r="P96"/>
      <c r="Q96"/>
      <c r="R96"/>
      <c r="S96" s="15"/>
    </row>
    <row r="97" spans="1:19">
      <c r="A97" s="146"/>
      <c r="B97" s="542">
        <v>38</v>
      </c>
      <c r="C97" s="826"/>
      <c r="D97" s="827"/>
      <c r="E97"/>
      <c r="F97"/>
      <c r="G97"/>
      <c r="H97"/>
      <c r="I97"/>
      <c r="J97"/>
      <c r="K97"/>
      <c r="L97"/>
      <c r="M97"/>
      <c r="N97"/>
      <c r="O97"/>
      <c r="P97"/>
      <c r="Q97"/>
      <c r="R97"/>
      <c r="S97" s="15"/>
    </row>
    <row r="98" spans="1:19">
      <c r="A98" s="146"/>
      <c r="B98" s="542">
        <v>39</v>
      </c>
      <c r="C98" s="826"/>
      <c r="D98" s="827"/>
      <c r="E98"/>
      <c r="F98"/>
      <c r="G98"/>
      <c r="H98"/>
      <c r="I98"/>
      <c r="J98"/>
      <c r="K98"/>
      <c r="L98"/>
      <c r="M98"/>
      <c r="N98"/>
      <c r="O98"/>
      <c r="P98"/>
      <c r="Q98"/>
      <c r="R98"/>
      <c r="S98" s="15"/>
    </row>
    <row r="99" spans="1:19">
      <c r="A99" s="146"/>
      <c r="B99" s="542">
        <v>40</v>
      </c>
      <c r="C99" s="826"/>
      <c r="D99" s="827"/>
      <c r="E99"/>
      <c r="F99"/>
      <c r="G99"/>
      <c r="H99"/>
      <c r="I99"/>
      <c r="J99"/>
      <c r="K99"/>
      <c r="L99"/>
      <c r="M99"/>
      <c r="N99"/>
      <c r="O99"/>
      <c r="P99"/>
      <c r="Q99"/>
      <c r="R99"/>
      <c r="S99" s="15"/>
    </row>
    <row r="100" spans="1:19">
      <c r="A100" s="146"/>
      <c r="B100" s="542">
        <v>41</v>
      </c>
      <c r="C100" s="826"/>
      <c r="D100" s="827"/>
      <c r="E100"/>
      <c r="F100"/>
      <c r="G100"/>
      <c r="H100"/>
      <c r="I100"/>
      <c r="J100"/>
      <c r="K100"/>
      <c r="L100"/>
      <c r="M100"/>
      <c r="N100"/>
      <c r="O100"/>
      <c r="P100"/>
      <c r="Q100"/>
      <c r="R100"/>
      <c r="S100" s="15"/>
    </row>
    <row r="101" spans="1:19">
      <c r="A101" s="146"/>
      <c r="B101" s="542">
        <v>42</v>
      </c>
      <c r="C101" s="826"/>
      <c r="D101" s="827"/>
      <c r="E101"/>
      <c r="F101"/>
      <c r="G101"/>
      <c r="H101"/>
      <c r="I101"/>
      <c r="J101"/>
      <c r="K101"/>
      <c r="L101"/>
      <c r="M101"/>
      <c r="N101"/>
      <c r="O101"/>
      <c r="P101"/>
      <c r="Q101"/>
      <c r="R101"/>
      <c r="S101" s="15"/>
    </row>
    <row r="102" spans="1:19">
      <c r="A102" s="146"/>
      <c r="B102" s="542">
        <v>43</v>
      </c>
      <c r="C102" s="826"/>
      <c r="D102" s="827"/>
      <c r="E102"/>
      <c r="F102"/>
      <c r="G102"/>
      <c r="H102"/>
      <c r="I102"/>
      <c r="J102"/>
      <c r="K102"/>
      <c r="L102"/>
      <c r="M102"/>
      <c r="N102"/>
      <c r="O102"/>
      <c r="P102"/>
      <c r="Q102"/>
      <c r="R102"/>
      <c r="S102" s="15"/>
    </row>
    <row r="103" spans="1:19">
      <c r="A103" s="146"/>
      <c r="B103" s="542">
        <v>44</v>
      </c>
      <c r="C103" s="826"/>
      <c r="D103" s="827"/>
      <c r="E103"/>
      <c r="F103"/>
      <c r="G103"/>
      <c r="H103"/>
      <c r="I103"/>
      <c r="J103"/>
      <c r="K103"/>
      <c r="L103"/>
      <c r="M103"/>
      <c r="N103"/>
      <c r="O103"/>
      <c r="P103"/>
      <c r="Q103"/>
      <c r="R103"/>
      <c r="S103" s="15"/>
    </row>
    <row r="104" spans="1:19">
      <c r="A104" s="146"/>
      <c r="B104" s="542">
        <v>45</v>
      </c>
      <c r="C104" s="826"/>
      <c r="D104" s="827"/>
      <c r="E104"/>
      <c r="F104"/>
      <c r="G104"/>
      <c r="H104"/>
      <c r="I104"/>
      <c r="J104"/>
      <c r="K104"/>
      <c r="L104"/>
      <c r="M104"/>
      <c r="N104"/>
      <c r="O104"/>
      <c r="P104"/>
      <c r="Q104"/>
      <c r="R104"/>
      <c r="S104" s="15"/>
    </row>
    <row r="105" spans="1:19">
      <c r="A105" s="146"/>
      <c r="B105" s="542">
        <v>46</v>
      </c>
      <c r="C105" s="826"/>
      <c r="D105" s="827"/>
      <c r="E105"/>
      <c r="F105"/>
      <c r="G105"/>
      <c r="H105"/>
      <c r="I105"/>
      <c r="J105"/>
      <c r="K105"/>
      <c r="L105"/>
      <c r="M105"/>
      <c r="N105"/>
      <c r="O105"/>
      <c r="P105"/>
      <c r="Q105"/>
      <c r="R105"/>
      <c r="S105" s="15"/>
    </row>
    <row r="106" spans="1:19">
      <c r="A106" s="146"/>
      <c r="B106" s="542">
        <v>47</v>
      </c>
      <c r="C106" s="826"/>
      <c r="D106" s="827"/>
      <c r="E106"/>
      <c r="F106"/>
      <c r="G106"/>
      <c r="H106"/>
      <c r="I106"/>
      <c r="J106"/>
      <c r="K106"/>
      <c r="L106"/>
      <c r="M106"/>
      <c r="N106"/>
      <c r="O106"/>
      <c r="P106"/>
      <c r="Q106"/>
      <c r="R106"/>
      <c r="S106" s="15"/>
    </row>
    <row r="107" spans="1:19">
      <c r="A107" s="146"/>
      <c r="B107" s="542">
        <v>48</v>
      </c>
      <c r="C107" s="826"/>
      <c r="D107" s="827"/>
      <c r="E107"/>
      <c r="F107"/>
      <c r="G107"/>
      <c r="H107"/>
      <c r="I107"/>
      <c r="J107"/>
      <c r="K107"/>
      <c r="L107"/>
      <c r="M107"/>
      <c r="N107"/>
      <c r="O107"/>
      <c r="P107"/>
      <c r="Q107"/>
      <c r="R107"/>
      <c r="S107" s="15"/>
    </row>
    <row r="108" spans="1:19">
      <c r="A108" s="146"/>
      <c r="B108" s="542">
        <v>49</v>
      </c>
      <c r="C108" s="826"/>
      <c r="D108" s="827"/>
      <c r="E108"/>
      <c r="F108"/>
      <c r="G108"/>
      <c r="H108"/>
      <c r="I108"/>
      <c r="J108"/>
      <c r="K108"/>
      <c r="L108"/>
      <c r="M108"/>
      <c r="N108"/>
      <c r="O108"/>
      <c r="P108"/>
      <c r="Q108"/>
      <c r="R108"/>
      <c r="S108" s="15"/>
    </row>
    <row r="109" spans="1:19">
      <c r="A109" s="146"/>
      <c r="B109" s="542">
        <v>50</v>
      </c>
      <c r="C109" s="826"/>
      <c r="D109" s="827"/>
      <c r="E109"/>
      <c r="F109"/>
      <c r="G109"/>
      <c r="H109"/>
      <c r="I109"/>
      <c r="J109"/>
      <c r="K109"/>
      <c r="L109"/>
      <c r="M109"/>
      <c r="N109"/>
      <c r="O109"/>
      <c r="P109"/>
      <c r="Q109"/>
      <c r="R109"/>
      <c r="S109" s="15"/>
    </row>
    <row r="110" spans="1:19">
      <c r="A110" s="146"/>
      <c r="B110" s="542">
        <v>51</v>
      </c>
      <c r="C110" s="826"/>
      <c r="D110" s="827"/>
      <c r="E110"/>
      <c r="F110"/>
      <c r="G110"/>
      <c r="H110"/>
      <c r="I110"/>
      <c r="J110"/>
      <c r="K110"/>
      <c r="L110"/>
      <c r="M110"/>
      <c r="N110"/>
      <c r="O110"/>
      <c r="P110"/>
      <c r="Q110"/>
      <c r="R110"/>
      <c r="S110" s="15"/>
    </row>
    <row r="111" spans="1:19">
      <c r="A111" s="146"/>
      <c r="B111" s="542">
        <v>52</v>
      </c>
      <c r="C111" s="826"/>
      <c r="D111" s="827"/>
      <c r="E111"/>
      <c r="F111"/>
      <c r="G111"/>
      <c r="H111"/>
      <c r="I111"/>
      <c r="J111"/>
      <c r="K111"/>
      <c r="L111"/>
      <c r="M111"/>
      <c r="N111"/>
      <c r="O111"/>
      <c r="P111"/>
      <c r="Q111"/>
      <c r="R111"/>
      <c r="S111" s="15"/>
    </row>
    <row r="112" spans="1:19">
      <c r="A112" s="146"/>
      <c r="B112" s="542">
        <v>53</v>
      </c>
      <c r="C112" s="826"/>
      <c r="D112" s="827"/>
      <c r="E112"/>
      <c r="F112"/>
      <c r="G112"/>
      <c r="H112"/>
      <c r="I112"/>
      <c r="J112"/>
      <c r="K112"/>
      <c r="L112"/>
      <c r="M112"/>
      <c r="N112"/>
      <c r="O112"/>
      <c r="P112"/>
      <c r="Q112"/>
      <c r="R112"/>
      <c r="S112" s="15"/>
    </row>
    <row r="113" spans="1:19">
      <c r="A113" s="146"/>
      <c r="B113" s="542">
        <v>54</v>
      </c>
      <c r="C113" s="826"/>
      <c r="D113" s="827"/>
      <c r="E113"/>
      <c r="F113"/>
      <c r="G113"/>
      <c r="H113"/>
      <c r="I113"/>
      <c r="J113"/>
      <c r="K113"/>
      <c r="L113"/>
      <c r="M113"/>
      <c r="N113"/>
      <c r="O113"/>
      <c r="P113"/>
      <c r="Q113"/>
      <c r="R113"/>
      <c r="S113" s="15"/>
    </row>
    <row r="114" spans="1:19">
      <c r="A114" s="146"/>
      <c r="B114" s="542">
        <v>55</v>
      </c>
      <c r="C114" s="826"/>
      <c r="D114" s="827"/>
      <c r="E114"/>
      <c r="F114"/>
      <c r="G114"/>
      <c r="H114"/>
      <c r="I114"/>
      <c r="J114"/>
      <c r="K114"/>
      <c r="L114"/>
      <c r="M114"/>
      <c r="N114"/>
      <c r="O114"/>
      <c r="P114"/>
      <c r="Q114"/>
      <c r="R114"/>
      <c r="S114" s="15"/>
    </row>
    <row r="115" spans="1:19">
      <c r="A115" s="146"/>
      <c r="B115" s="542">
        <v>56</v>
      </c>
      <c r="C115" s="826"/>
      <c r="D115" s="827"/>
      <c r="E115"/>
      <c r="F115"/>
      <c r="G115"/>
      <c r="H115"/>
      <c r="I115"/>
      <c r="J115"/>
      <c r="K115"/>
      <c r="L115"/>
      <c r="M115"/>
      <c r="N115"/>
      <c r="O115"/>
      <c r="P115"/>
      <c r="Q115"/>
      <c r="R115"/>
      <c r="S115" s="15"/>
    </row>
    <row r="116" spans="1:19">
      <c r="A116" s="146"/>
      <c r="B116" s="542">
        <v>57</v>
      </c>
      <c r="C116" s="826"/>
      <c r="D116" s="827"/>
      <c r="E116"/>
      <c r="F116"/>
      <c r="G116"/>
      <c r="H116"/>
      <c r="I116"/>
      <c r="J116"/>
      <c r="K116"/>
      <c r="L116"/>
      <c r="M116"/>
      <c r="N116"/>
      <c r="O116"/>
      <c r="P116"/>
      <c r="Q116"/>
      <c r="R116"/>
      <c r="S116" s="15"/>
    </row>
    <row r="117" spans="1:19">
      <c r="A117" s="146"/>
      <c r="B117" s="542">
        <v>58</v>
      </c>
      <c r="C117" s="826"/>
      <c r="D117" s="827"/>
      <c r="E117"/>
      <c r="F117"/>
      <c r="G117"/>
      <c r="H117"/>
      <c r="I117"/>
      <c r="J117"/>
      <c r="K117"/>
      <c r="L117"/>
      <c r="M117"/>
      <c r="N117"/>
      <c r="O117"/>
      <c r="P117"/>
      <c r="Q117"/>
      <c r="R117"/>
      <c r="S117" s="15"/>
    </row>
    <row r="118" spans="1:19">
      <c r="A118" s="146"/>
      <c r="B118" s="542">
        <v>59</v>
      </c>
      <c r="C118" s="826"/>
      <c r="D118" s="827"/>
      <c r="E118"/>
      <c r="F118"/>
      <c r="G118"/>
      <c r="H118"/>
      <c r="I118"/>
      <c r="J118"/>
      <c r="K118"/>
      <c r="L118"/>
      <c r="M118"/>
      <c r="N118"/>
      <c r="O118"/>
      <c r="P118"/>
      <c r="Q118"/>
      <c r="R118"/>
      <c r="S118" s="15"/>
    </row>
    <row r="119" spans="1:19">
      <c r="A119" s="146"/>
      <c r="B119" s="542">
        <v>60</v>
      </c>
      <c r="C119" s="826"/>
      <c r="D119" s="827"/>
      <c r="E119"/>
      <c r="F119"/>
      <c r="G119"/>
      <c r="H119"/>
      <c r="I119"/>
      <c r="J119"/>
      <c r="K119"/>
      <c r="L119"/>
      <c r="M119"/>
      <c r="N119"/>
      <c r="O119"/>
      <c r="P119"/>
      <c r="Q119"/>
      <c r="R119"/>
      <c r="S119" s="15"/>
    </row>
    <row r="120" spans="1:19">
      <c r="A120" s="146"/>
      <c r="B120" s="542">
        <v>61</v>
      </c>
      <c r="C120" s="826"/>
      <c r="D120" s="827"/>
      <c r="E120"/>
      <c r="F120"/>
      <c r="G120"/>
      <c r="H120"/>
      <c r="I120"/>
      <c r="J120"/>
      <c r="K120"/>
      <c r="L120"/>
      <c r="M120"/>
      <c r="N120"/>
      <c r="O120"/>
      <c r="P120"/>
      <c r="Q120"/>
      <c r="R120"/>
      <c r="S120" s="15"/>
    </row>
    <row r="121" spans="1:19">
      <c r="A121" s="146"/>
      <c r="B121" s="542">
        <v>62</v>
      </c>
      <c r="C121" s="826"/>
      <c r="D121" s="827"/>
      <c r="E121"/>
      <c r="F121"/>
      <c r="G121"/>
      <c r="H121"/>
      <c r="I121"/>
      <c r="J121"/>
      <c r="K121"/>
      <c r="L121"/>
      <c r="M121"/>
      <c r="N121"/>
      <c r="O121"/>
      <c r="P121"/>
      <c r="Q121"/>
      <c r="R121"/>
      <c r="S121" s="15"/>
    </row>
    <row r="122" spans="1:19">
      <c r="A122" s="146"/>
      <c r="B122" s="542">
        <v>63</v>
      </c>
      <c r="C122" s="826"/>
      <c r="D122" s="827"/>
      <c r="E122"/>
      <c r="F122"/>
      <c r="G122"/>
      <c r="H122"/>
      <c r="I122"/>
      <c r="J122"/>
      <c r="K122"/>
      <c r="L122"/>
      <c r="M122"/>
      <c r="N122"/>
      <c r="O122"/>
      <c r="P122"/>
      <c r="Q122"/>
      <c r="R122"/>
      <c r="S122" s="15"/>
    </row>
    <row r="123" spans="1:19">
      <c r="A123" s="146"/>
      <c r="B123" s="542">
        <v>64</v>
      </c>
      <c r="C123" s="826"/>
      <c r="D123" s="827"/>
      <c r="E123"/>
      <c r="F123"/>
      <c r="G123"/>
      <c r="H123"/>
      <c r="I123"/>
      <c r="J123"/>
      <c r="K123"/>
      <c r="L123"/>
      <c r="M123"/>
      <c r="N123"/>
      <c r="O123"/>
      <c r="P123"/>
      <c r="Q123"/>
      <c r="R123"/>
      <c r="S123" s="15"/>
    </row>
    <row r="124" spans="1:19">
      <c r="A124" s="146"/>
      <c r="B124" s="542">
        <v>65</v>
      </c>
      <c r="C124" s="826"/>
      <c r="D124" s="827"/>
      <c r="E124"/>
      <c r="F124"/>
      <c r="G124"/>
      <c r="H124"/>
      <c r="I124"/>
      <c r="J124"/>
      <c r="K124"/>
      <c r="L124"/>
      <c r="M124"/>
      <c r="N124"/>
      <c r="O124"/>
      <c r="P124"/>
      <c r="Q124"/>
      <c r="R124"/>
      <c r="S124" s="15"/>
    </row>
    <row r="125" spans="1:19">
      <c r="A125" s="146"/>
      <c r="B125" s="542">
        <v>66</v>
      </c>
      <c r="C125" s="826"/>
      <c r="D125" s="827"/>
      <c r="E125"/>
      <c r="F125"/>
      <c r="G125"/>
      <c r="H125"/>
      <c r="I125"/>
      <c r="J125"/>
      <c r="K125"/>
      <c r="L125"/>
      <c r="M125"/>
      <c r="N125"/>
      <c r="O125"/>
      <c r="P125"/>
      <c r="Q125"/>
      <c r="R125"/>
      <c r="S125" s="15"/>
    </row>
    <row r="126" spans="1:19">
      <c r="A126" s="146"/>
      <c r="B126" s="542">
        <v>67</v>
      </c>
      <c r="C126" s="826"/>
      <c r="D126" s="827"/>
      <c r="E126"/>
      <c r="F126"/>
      <c r="G126"/>
      <c r="H126"/>
      <c r="I126"/>
      <c r="J126"/>
      <c r="K126"/>
      <c r="L126"/>
      <c r="M126"/>
      <c r="N126"/>
      <c r="O126"/>
      <c r="P126"/>
      <c r="Q126"/>
      <c r="R126"/>
      <c r="S126" s="15"/>
    </row>
    <row r="127" spans="1:19">
      <c r="A127" s="146"/>
      <c r="B127" s="542">
        <v>68</v>
      </c>
      <c r="C127" s="826"/>
      <c r="D127" s="827"/>
      <c r="E127"/>
      <c r="F127"/>
      <c r="G127"/>
      <c r="H127"/>
      <c r="I127"/>
      <c r="J127"/>
      <c r="K127"/>
      <c r="L127"/>
      <c r="M127"/>
      <c r="N127"/>
      <c r="O127"/>
      <c r="P127"/>
      <c r="Q127"/>
      <c r="R127"/>
      <c r="S127" s="15"/>
    </row>
    <row r="128" spans="1:19">
      <c r="A128" s="146"/>
      <c r="B128" s="542">
        <v>69</v>
      </c>
      <c r="C128" s="826"/>
      <c r="D128" s="827"/>
      <c r="E128"/>
      <c r="F128"/>
      <c r="G128"/>
      <c r="H128"/>
      <c r="I128"/>
      <c r="J128"/>
      <c r="K128"/>
      <c r="L128"/>
      <c r="M128"/>
      <c r="N128"/>
      <c r="O128"/>
      <c r="P128"/>
      <c r="Q128"/>
      <c r="R128"/>
      <c r="S128" s="15"/>
    </row>
    <row r="129" spans="1:19">
      <c r="A129" s="146"/>
      <c r="B129" s="542">
        <v>70</v>
      </c>
      <c r="C129" s="826"/>
      <c r="D129" s="827"/>
      <c r="E129"/>
      <c r="F129"/>
      <c r="G129"/>
      <c r="H129"/>
      <c r="I129"/>
      <c r="J129"/>
      <c r="K129"/>
      <c r="L129"/>
      <c r="M129"/>
      <c r="N129"/>
      <c r="O129"/>
      <c r="P129"/>
      <c r="Q129"/>
      <c r="R129"/>
      <c r="S129" s="15"/>
    </row>
    <row r="130" spans="1:19">
      <c r="A130" s="146"/>
      <c r="B130" s="542">
        <v>71</v>
      </c>
      <c r="C130" s="826"/>
      <c r="D130" s="827"/>
      <c r="E130"/>
      <c r="F130"/>
      <c r="G130"/>
      <c r="H130"/>
      <c r="I130"/>
      <c r="J130"/>
      <c r="K130"/>
      <c r="L130"/>
      <c r="M130"/>
      <c r="N130"/>
      <c r="O130"/>
      <c r="P130"/>
      <c r="Q130"/>
      <c r="R130"/>
      <c r="S130" s="15"/>
    </row>
    <row r="131" spans="1:19">
      <c r="A131" s="146"/>
      <c r="B131" s="542">
        <v>72</v>
      </c>
      <c r="C131" s="826"/>
      <c r="D131" s="827"/>
      <c r="E131"/>
      <c r="F131"/>
      <c r="G131"/>
      <c r="H131"/>
      <c r="I131"/>
      <c r="J131"/>
      <c r="K131"/>
      <c r="L131"/>
      <c r="M131"/>
      <c r="N131"/>
      <c r="O131"/>
      <c r="P131"/>
      <c r="Q131"/>
      <c r="R131"/>
      <c r="S131" s="15"/>
    </row>
    <row r="132" spans="1:19">
      <c r="A132" s="146"/>
      <c r="B132" s="542">
        <v>73</v>
      </c>
      <c r="C132" s="826"/>
      <c r="D132" s="827"/>
      <c r="E132"/>
      <c r="F132"/>
      <c r="G132"/>
      <c r="H132"/>
      <c r="I132"/>
      <c r="J132"/>
      <c r="K132"/>
      <c r="L132"/>
      <c r="M132"/>
      <c r="N132"/>
      <c r="O132"/>
      <c r="P132"/>
      <c r="Q132"/>
      <c r="R132"/>
      <c r="S132" s="15"/>
    </row>
    <row r="133" spans="1:19">
      <c r="A133" s="146"/>
      <c r="B133" s="542">
        <v>74</v>
      </c>
      <c r="C133" s="826"/>
      <c r="D133" s="827"/>
      <c r="E133"/>
      <c r="F133"/>
      <c r="G133"/>
      <c r="H133"/>
      <c r="I133"/>
      <c r="J133"/>
      <c r="K133"/>
      <c r="L133"/>
      <c r="M133"/>
      <c r="N133"/>
      <c r="O133"/>
      <c r="P133"/>
      <c r="Q133"/>
      <c r="R133"/>
      <c r="S133" s="15"/>
    </row>
    <row r="134" spans="1:19">
      <c r="A134" s="146"/>
      <c r="B134" s="542">
        <v>75</v>
      </c>
      <c r="C134" s="826"/>
      <c r="D134" s="827"/>
      <c r="E134"/>
      <c r="F134"/>
      <c r="G134"/>
      <c r="H134"/>
      <c r="I134"/>
      <c r="J134"/>
      <c r="K134"/>
      <c r="L134"/>
      <c r="M134"/>
      <c r="N134"/>
      <c r="O134"/>
      <c r="P134"/>
      <c r="Q134"/>
      <c r="R134"/>
      <c r="S134" s="15"/>
    </row>
    <row r="135" spans="1:19">
      <c r="A135" s="146"/>
      <c r="B135" s="542">
        <v>76</v>
      </c>
      <c r="C135" s="826"/>
      <c r="D135" s="827"/>
      <c r="E135"/>
      <c r="F135"/>
      <c r="G135"/>
      <c r="H135"/>
      <c r="I135"/>
      <c r="J135"/>
      <c r="K135"/>
      <c r="L135"/>
      <c r="M135"/>
      <c r="N135"/>
      <c r="O135"/>
      <c r="P135"/>
      <c r="Q135"/>
      <c r="R135"/>
      <c r="S135" s="15"/>
    </row>
    <row r="136" spans="1:19">
      <c r="A136" s="146"/>
      <c r="B136" s="542">
        <v>77</v>
      </c>
      <c r="C136" s="826"/>
      <c r="D136" s="827"/>
      <c r="E136"/>
      <c r="F136"/>
      <c r="G136"/>
      <c r="H136"/>
      <c r="I136"/>
      <c r="J136"/>
      <c r="K136"/>
      <c r="L136"/>
      <c r="M136"/>
      <c r="N136"/>
      <c r="O136"/>
      <c r="P136"/>
      <c r="Q136"/>
      <c r="R136"/>
      <c r="S136" s="15"/>
    </row>
    <row r="137" spans="1:19">
      <c r="A137" s="146"/>
      <c r="B137" s="542">
        <v>78</v>
      </c>
      <c r="C137" s="826"/>
      <c r="D137" s="827"/>
      <c r="E137"/>
      <c r="F137"/>
      <c r="G137"/>
      <c r="H137"/>
      <c r="I137"/>
      <c r="J137"/>
      <c r="K137"/>
      <c r="L137"/>
      <c r="M137"/>
      <c r="N137"/>
      <c r="O137"/>
      <c r="P137"/>
      <c r="Q137"/>
      <c r="R137"/>
      <c r="S137" s="15"/>
    </row>
    <row r="138" spans="1:19">
      <c r="A138" s="146"/>
      <c r="B138" s="542">
        <v>79</v>
      </c>
      <c r="C138" s="826"/>
      <c r="D138" s="827"/>
      <c r="E138"/>
      <c r="F138"/>
      <c r="G138"/>
      <c r="H138"/>
      <c r="I138"/>
      <c r="J138"/>
      <c r="K138"/>
      <c r="L138"/>
      <c r="M138"/>
      <c r="N138"/>
      <c r="O138"/>
      <c r="P138"/>
      <c r="Q138"/>
      <c r="R138"/>
      <c r="S138" s="15"/>
    </row>
    <row r="139" spans="1:19">
      <c r="A139" s="146"/>
      <c r="B139" s="542">
        <v>80</v>
      </c>
      <c r="C139" s="826"/>
      <c r="D139" s="827"/>
      <c r="E139"/>
      <c r="F139"/>
      <c r="G139"/>
      <c r="H139"/>
      <c r="I139"/>
      <c r="J139"/>
      <c r="K139"/>
      <c r="L139"/>
      <c r="M139"/>
      <c r="N139"/>
      <c r="O139"/>
      <c r="P139"/>
      <c r="Q139"/>
      <c r="R139"/>
      <c r="S139" s="15"/>
    </row>
    <row r="140" spans="1:19">
      <c r="A140" s="146"/>
      <c r="B140" s="542">
        <v>81</v>
      </c>
      <c r="C140" s="826"/>
      <c r="D140" s="827"/>
      <c r="E140"/>
      <c r="F140"/>
      <c r="G140"/>
      <c r="H140"/>
      <c r="I140"/>
      <c r="J140"/>
      <c r="K140"/>
      <c r="L140"/>
      <c r="M140"/>
      <c r="N140"/>
      <c r="O140"/>
      <c r="P140"/>
      <c r="Q140"/>
      <c r="R140"/>
      <c r="S140" s="15"/>
    </row>
    <row r="141" spans="1:19">
      <c r="A141" s="146"/>
      <c r="B141" s="542">
        <v>82</v>
      </c>
      <c r="C141" s="826"/>
      <c r="D141" s="827"/>
      <c r="E141"/>
      <c r="F141"/>
      <c r="G141"/>
      <c r="H141"/>
      <c r="I141"/>
      <c r="J141"/>
      <c r="K141"/>
      <c r="L141"/>
      <c r="M141"/>
      <c r="N141"/>
      <c r="O141"/>
      <c r="P141"/>
      <c r="Q141"/>
      <c r="R141"/>
      <c r="S141" s="15"/>
    </row>
    <row r="142" spans="1:19">
      <c r="A142" s="146"/>
      <c r="B142" s="542">
        <v>83</v>
      </c>
      <c r="C142" s="826"/>
      <c r="D142" s="827"/>
      <c r="E142"/>
      <c r="F142"/>
      <c r="G142"/>
      <c r="H142"/>
      <c r="I142"/>
      <c r="J142"/>
      <c r="K142"/>
      <c r="L142"/>
      <c r="M142"/>
      <c r="N142"/>
      <c r="O142"/>
      <c r="P142"/>
      <c r="Q142"/>
      <c r="R142"/>
      <c r="S142" s="15"/>
    </row>
    <row r="143" spans="1:19">
      <c r="A143" s="146"/>
      <c r="B143" s="542">
        <v>84</v>
      </c>
      <c r="C143" s="826"/>
      <c r="D143" s="827"/>
      <c r="E143"/>
      <c r="F143"/>
      <c r="G143"/>
      <c r="H143"/>
      <c r="I143"/>
      <c r="J143"/>
      <c r="K143"/>
      <c r="L143"/>
      <c r="M143"/>
      <c r="N143"/>
      <c r="O143"/>
      <c r="P143"/>
      <c r="Q143"/>
      <c r="R143"/>
      <c r="S143" s="15"/>
    </row>
    <row r="144" spans="1:19">
      <c r="A144" s="146"/>
      <c r="B144" s="542">
        <v>85</v>
      </c>
      <c r="C144" s="826"/>
      <c r="D144" s="827"/>
      <c r="E144"/>
      <c r="F144"/>
      <c r="G144"/>
      <c r="H144"/>
      <c r="I144"/>
      <c r="J144"/>
      <c r="K144"/>
      <c r="L144"/>
      <c r="M144"/>
      <c r="N144"/>
      <c r="O144"/>
      <c r="P144"/>
      <c r="Q144"/>
      <c r="R144"/>
      <c r="S144" s="15"/>
    </row>
    <row r="145" spans="1:19">
      <c r="A145" s="146"/>
      <c r="B145" s="542">
        <v>86</v>
      </c>
      <c r="C145" s="826"/>
      <c r="D145" s="827"/>
      <c r="E145"/>
      <c r="F145"/>
      <c r="G145"/>
      <c r="H145"/>
      <c r="I145"/>
      <c r="J145"/>
      <c r="K145"/>
      <c r="L145"/>
      <c r="M145"/>
      <c r="N145"/>
      <c r="O145"/>
      <c r="P145"/>
      <c r="Q145"/>
      <c r="R145"/>
      <c r="S145" s="15"/>
    </row>
    <row r="146" spans="1:19">
      <c r="A146" s="146"/>
      <c r="B146" s="542">
        <v>87</v>
      </c>
      <c r="C146" s="826"/>
      <c r="D146" s="827"/>
      <c r="E146"/>
      <c r="F146"/>
      <c r="G146"/>
      <c r="H146"/>
      <c r="I146"/>
      <c r="J146"/>
      <c r="K146"/>
      <c r="L146"/>
      <c r="M146"/>
      <c r="N146"/>
      <c r="O146"/>
      <c r="P146"/>
      <c r="Q146"/>
      <c r="R146"/>
      <c r="S146" s="15"/>
    </row>
    <row r="147" spans="1:19">
      <c r="A147" s="146"/>
      <c r="B147" s="542">
        <v>88</v>
      </c>
      <c r="C147" s="826"/>
      <c r="D147" s="827"/>
      <c r="E147"/>
      <c r="F147"/>
      <c r="G147"/>
      <c r="H147"/>
      <c r="I147"/>
      <c r="J147"/>
      <c r="K147"/>
      <c r="L147"/>
      <c r="M147"/>
      <c r="N147"/>
      <c r="O147"/>
      <c r="P147"/>
      <c r="Q147"/>
      <c r="R147"/>
      <c r="S147" s="15"/>
    </row>
    <row r="148" spans="1:19">
      <c r="A148" s="146"/>
      <c r="B148" s="542">
        <v>89</v>
      </c>
      <c r="C148" s="826"/>
      <c r="D148" s="827"/>
      <c r="E148"/>
      <c r="F148"/>
      <c r="G148"/>
      <c r="H148"/>
      <c r="I148"/>
      <c r="J148"/>
      <c r="K148"/>
      <c r="L148"/>
      <c r="M148"/>
      <c r="N148"/>
      <c r="O148"/>
      <c r="P148"/>
      <c r="Q148"/>
      <c r="R148"/>
      <c r="S148" s="15"/>
    </row>
    <row r="149" spans="1:19">
      <c r="A149" s="146"/>
      <c r="B149" s="542">
        <v>90</v>
      </c>
      <c r="C149" s="826"/>
      <c r="D149" s="827"/>
      <c r="E149"/>
      <c r="F149"/>
      <c r="G149"/>
      <c r="H149"/>
      <c r="I149"/>
      <c r="J149"/>
      <c r="K149"/>
      <c r="L149"/>
      <c r="M149"/>
      <c r="N149"/>
      <c r="O149"/>
      <c r="P149"/>
      <c r="Q149"/>
      <c r="R149"/>
      <c r="S149" s="15"/>
    </row>
    <row r="150" spans="1:19">
      <c r="A150" s="146"/>
      <c r="B150" s="542">
        <v>91</v>
      </c>
      <c r="C150" s="826"/>
      <c r="D150" s="827"/>
      <c r="E150"/>
      <c r="F150"/>
      <c r="G150"/>
      <c r="H150"/>
      <c r="I150"/>
      <c r="J150"/>
      <c r="K150"/>
      <c r="L150"/>
      <c r="M150"/>
      <c r="N150"/>
      <c r="O150"/>
      <c r="P150"/>
      <c r="Q150"/>
      <c r="R150"/>
      <c r="S150" s="15"/>
    </row>
    <row r="151" spans="1:19">
      <c r="A151" s="146"/>
      <c r="B151" s="542">
        <v>92</v>
      </c>
      <c r="C151" s="826"/>
      <c r="D151" s="827"/>
      <c r="E151"/>
      <c r="F151"/>
      <c r="G151"/>
      <c r="H151"/>
      <c r="I151"/>
      <c r="J151"/>
      <c r="K151"/>
      <c r="L151"/>
      <c r="M151"/>
      <c r="N151"/>
      <c r="O151"/>
      <c r="P151"/>
      <c r="Q151"/>
      <c r="R151"/>
      <c r="S151" s="15"/>
    </row>
    <row r="152" spans="1:19">
      <c r="A152" s="146"/>
      <c r="B152" s="542">
        <v>93</v>
      </c>
      <c r="C152" s="826"/>
      <c r="D152" s="827"/>
      <c r="E152"/>
      <c r="F152"/>
      <c r="G152"/>
      <c r="H152"/>
      <c r="I152"/>
      <c r="J152"/>
      <c r="K152"/>
      <c r="L152"/>
      <c r="M152"/>
      <c r="N152"/>
      <c r="O152"/>
      <c r="P152"/>
      <c r="Q152"/>
      <c r="R152"/>
      <c r="S152" s="15"/>
    </row>
    <row r="153" spans="1:19">
      <c r="A153" s="146"/>
      <c r="B153" s="542">
        <v>94</v>
      </c>
      <c r="C153" s="826"/>
      <c r="D153" s="827"/>
      <c r="E153"/>
      <c r="F153"/>
      <c r="G153"/>
      <c r="H153"/>
      <c r="I153"/>
      <c r="J153"/>
      <c r="K153"/>
      <c r="L153"/>
      <c r="M153"/>
      <c r="N153"/>
      <c r="O153"/>
      <c r="P153"/>
      <c r="Q153"/>
      <c r="R153"/>
      <c r="S153" s="15"/>
    </row>
    <row r="154" spans="1:19">
      <c r="A154" s="146"/>
      <c r="B154" s="542">
        <v>95</v>
      </c>
      <c r="C154" s="826"/>
      <c r="D154" s="827"/>
      <c r="E154"/>
      <c r="F154"/>
      <c r="G154"/>
      <c r="H154"/>
      <c r="I154"/>
      <c r="J154"/>
      <c r="K154"/>
      <c r="L154"/>
      <c r="M154"/>
      <c r="N154"/>
      <c r="O154"/>
      <c r="P154"/>
      <c r="Q154"/>
      <c r="R154"/>
      <c r="S154" s="15"/>
    </row>
    <row r="155" spans="1:19">
      <c r="A155" s="146"/>
      <c r="B155" s="542">
        <v>96</v>
      </c>
      <c r="C155" s="826"/>
      <c r="D155" s="827"/>
      <c r="E155"/>
      <c r="F155"/>
      <c r="G155"/>
      <c r="H155"/>
      <c r="I155"/>
      <c r="J155"/>
      <c r="K155"/>
      <c r="L155"/>
      <c r="M155"/>
      <c r="N155"/>
      <c r="O155"/>
      <c r="P155"/>
      <c r="Q155"/>
      <c r="R155"/>
      <c r="S155" s="15"/>
    </row>
    <row r="156" spans="1:19">
      <c r="A156" s="146"/>
      <c r="B156" s="542">
        <v>97</v>
      </c>
      <c r="C156" s="826"/>
      <c r="D156" s="827"/>
      <c r="E156"/>
      <c r="F156"/>
      <c r="G156"/>
      <c r="H156"/>
      <c r="I156"/>
      <c r="J156"/>
      <c r="K156"/>
      <c r="L156"/>
      <c r="M156"/>
      <c r="N156"/>
      <c r="O156"/>
      <c r="P156"/>
      <c r="Q156"/>
      <c r="R156"/>
      <c r="S156" s="15"/>
    </row>
    <row r="157" spans="1:19">
      <c r="A157" s="146"/>
      <c r="B157" s="542">
        <v>98</v>
      </c>
      <c r="C157" s="826"/>
      <c r="D157" s="827"/>
      <c r="E157"/>
      <c r="F157"/>
      <c r="G157"/>
      <c r="H157"/>
      <c r="I157"/>
      <c r="J157"/>
      <c r="K157"/>
      <c r="L157"/>
      <c r="M157"/>
      <c r="N157"/>
      <c r="O157"/>
      <c r="P157"/>
      <c r="Q157"/>
      <c r="R157"/>
      <c r="S157" s="15"/>
    </row>
    <row r="158" spans="1:19">
      <c r="A158" s="146"/>
      <c r="B158" s="542">
        <v>99</v>
      </c>
      <c r="C158" s="826"/>
      <c r="D158" s="827"/>
      <c r="E158"/>
      <c r="F158"/>
      <c r="G158"/>
      <c r="H158"/>
      <c r="I158"/>
      <c r="J158"/>
      <c r="K158"/>
      <c r="L158"/>
      <c r="M158"/>
      <c r="N158"/>
      <c r="O158"/>
      <c r="P158"/>
      <c r="Q158"/>
      <c r="R158"/>
      <c r="S158" s="15"/>
    </row>
    <row r="159" spans="1:19">
      <c r="A159" s="146"/>
      <c r="B159" s="542">
        <v>100</v>
      </c>
      <c r="C159" s="826"/>
      <c r="D159" s="827"/>
      <c r="E159"/>
      <c r="F159"/>
      <c r="G159"/>
      <c r="H159"/>
      <c r="I159"/>
      <c r="J159"/>
      <c r="K159"/>
      <c r="L159"/>
      <c r="M159"/>
      <c r="N159"/>
      <c r="O159"/>
      <c r="P159"/>
      <c r="Q159"/>
      <c r="R159"/>
      <c r="S159" s="15"/>
    </row>
    <row r="160" spans="1:19">
      <c r="A160" s="146"/>
      <c r="B160" s="542">
        <v>101</v>
      </c>
      <c r="C160" s="826"/>
      <c r="D160" s="827"/>
      <c r="E160"/>
      <c r="F160"/>
      <c r="G160"/>
      <c r="H160"/>
      <c r="I160"/>
      <c r="J160"/>
      <c r="K160"/>
      <c r="L160"/>
      <c r="M160"/>
      <c r="N160"/>
      <c r="O160"/>
      <c r="P160"/>
      <c r="Q160"/>
      <c r="R160"/>
      <c r="S160" s="15"/>
    </row>
    <row r="161" spans="1:19">
      <c r="A161" s="146"/>
      <c r="B161" s="542">
        <v>102</v>
      </c>
      <c r="C161" s="826"/>
      <c r="D161" s="827"/>
      <c r="E161"/>
      <c r="F161"/>
      <c r="G161"/>
      <c r="H161"/>
      <c r="I161"/>
      <c r="J161"/>
      <c r="K161"/>
      <c r="L161"/>
      <c r="M161"/>
      <c r="N161"/>
      <c r="O161"/>
      <c r="P161"/>
      <c r="Q161"/>
      <c r="R161"/>
      <c r="S161" s="15"/>
    </row>
    <row r="162" spans="1:19">
      <c r="A162" s="146"/>
      <c r="B162" s="542">
        <v>103</v>
      </c>
      <c r="C162" s="828"/>
      <c r="D162" s="829"/>
      <c r="E162"/>
      <c r="F162"/>
      <c r="G162"/>
      <c r="H162"/>
      <c r="I162"/>
      <c r="J162"/>
      <c r="K162"/>
      <c r="L162"/>
      <c r="M162"/>
      <c r="N162"/>
      <c r="O162"/>
      <c r="P162"/>
      <c r="Q162"/>
      <c r="R162"/>
      <c r="S162" s="15"/>
    </row>
    <row r="163" spans="1:19">
      <c r="A163" s="146"/>
      <c r="B163" s="542">
        <v>104</v>
      </c>
      <c r="C163" s="828"/>
      <c r="D163" s="829"/>
      <c r="E163"/>
      <c r="F163"/>
      <c r="G163"/>
      <c r="H163"/>
      <c r="I163"/>
      <c r="J163"/>
      <c r="K163"/>
      <c r="L163"/>
      <c r="M163"/>
      <c r="N163"/>
      <c r="O163"/>
      <c r="P163"/>
      <c r="Q163"/>
      <c r="R163"/>
      <c r="S163" s="15"/>
    </row>
    <row r="164" spans="1:19">
      <c r="A164" s="146"/>
      <c r="B164" s="542">
        <v>105</v>
      </c>
      <c r="C164" s="828"/>
      <c r="D164" s="829"/>
      <c r="E164"/>
      <c r="F164"/>
      <c r="G164"/>
      <c r="H164"/>
      <c r="I164"/>
      <c r="J164"/>
      <c r="K164"/>
      <c r="L164"/>
      <c r="M164"/>
      <c r="N164"/>
      <c r="O164"/>
      <c r="P164"/>
      <c r="Q164"/>
      <c r="R164"/>
      <c r="S164" s="15"/>
    </row>
    <row r="165" spans="1:19">
      <c r="A165" s="146"/>
      <c r="B165" s="542">
        <v>106</v>
      </c>
      <c r="C165" s="828"/>
      <c r="D165" s="829"/>
      <c r="E165"/>
      <c r="F165"/>
      <c r="G165"/>
      <c r="H165"/>
      <c r="I165"/>
      <c r="J165"/>
      <c r="K165"/>
      <c r="L165"/>
      <c r="M165"/>
      <c r="N165"/>
      <c r="O165"/>
      <c r="P165"/>
      <c r="Q165"/>
      <c r="R165"/>
      <c r="S165" s="15"/>
    </row>
    <row r="166" spans="1:19">
      <c r="A166" s="146"/>
      <c r="B166" s="542">
        <v>107</v>
      </c>
      <c r="C166" s="828"/>
      <c r="D166" s="829"/>
      <c r="E166"/>
      <c r="F166"/>
      <c r="G166"/>
      <c r="H166"/>
      <c r="I166"/>
      <c r="J166"/>
      <c r="K166"/>
      <c r="L166"/>
      <c r="M166"/>
      <c r="N166"/>
      <c r="O166"/>
      <c r="P166"/>
      <c r="Q166"/>
      <c r="R166"/>
      <c r="S166" s="15"/>
    </row>
    <row r="167" spans="1:19">
      <c r="A167" s="146"/>
      <c r="B167" s="542">
        <v>108</v>
      </c>
      <c r="C167" s="828"/>
      <c r="D167" s="829"/>
      <c r="E167"/>
      <c r="F167"/>
      <c r="G167"/>
      <c r="H167"/>
      <c r="I167"/>
      <c r="J167"/>
      <c r="K167"/>
      <c r="L167"/>
      <c r="M167"/>
      <c r="N167"/>
      <c r="O167"/>
      <c r="P167"/>
      <c r="Q167"/>
      <c r="R167"/>
      <c r="S167" s="15"/>
    </row>
    <row r="168" spans="1:19">
      <c r="A168" s="146"/>
      <c r="B168" s="542">
        <v>109</v>
      </c>
      <c r="C168" s="828"/>
      <c r="D168" s="829"/>
      <c r="E168"/>
      <c r="F168"/>
      <c r="G168"/>
      <c r="H168"/>
      <c r="I168"/>
      <c r="J168"/>
      <c r="K168"/>
      <c r="L168"/>
      <c r="M168"/>
      <c r="N168"/>
      <c r="O168"/>
      <c r="P168"/>
      <c r="Q168"/>
      <c r="R168"/>
      <c r="S168" s="15"/>
    </row>
    <row r="169" spans="1:19">
      <c r="A169" s="146"/>
      <c r="B169" s="542">
        <v>110</v>
      </c>
      <c r="C169" s="828"/>
      <c r="D169" s="829"/>
      <c r="E169"/>
      <c r="F169"/>
      <c r="G169"/>
      <c r="H169"/>
      <c r="I169"/>
      <c r="J169"/>
      <c r="K169"/>
      <c r="L169"/>
      <c r="M169"/>
      <c r="N169"/>
      <c r="O169"/>
      <c r="P169"/>
      <c r="Q169"/>
      <c r="R169"/>
      <c r="S169" s="15"/>
    </row>
    <row r="170" spans="1:19">
      <c r="A170" s="146"/>
      <c r="B170" s="542">
        <v>111</v>
      </c>
      <c r="C170" s="828"/>
      <c r="D170" s="829"/>
      <c r="E170"/>
      <c r="F170"/>
      <c r="G170"/>
      <c r="H170"/>
      <c r="I170"/>
      <c r="J170"/>
      <c r="K170"/>
      <c r="L170"/>
      <c r="M170"/>
      <c r="N170"/>
      <c r="O170"/>
      <c r="P170"/>
      <c r="Q170"/>
      <c r="R170"/>
      <c r="S170" s="15"/>
    </row>
    <row r="171" spans="1:19">
      <c r="A171" s="146"/>
      <c r="B171" s="542">
        <v>112</v>
      </c>
      <c r="C171" s="828"/>
      <c r="D171" s="829"/>
      <c r="E171"/>
      <c r="F171"/>
      <c r="G171"/>
      <c r="H171"/>
      <c r="I171"/>
      <c r="J171"/>
      <c r="K171"/>
      <c r="L171"/>
      <c r="M171"/>
      <c r="N171"/>
      <c r="O171"/>
      <c r="P171"/>
      <c r="Q171"/>
      <c r="R171"/>
      <c r="S171" s="15"/>
    </row>
    <row r="172" spans="1:19">
      <c r="A172" s="146"/>
      <c r="B172" s="542">
        <v>113</v>
      </c>
      <c r="C172" s="828"/>
      <c r="D172" s="829"/>
      <c r="E172"/>
      <c r="F172"/>
      <c r="G172"/>
      <c r="H172"/>
      <c r="I172"/>
      <c r="J172"/>
      <c r="K172"/>
      <c r="L172"/>
      <c r="M172"/>
      <c r="N172"/>
      <c r="O172"/>
      <c r="P172"/>
      <c r="Q172"/>
      <c r="R172"/>
      <c r="S172" s="15"/>
    </row>
    <row r="173" spans="1:19">
      <c r="A173" s="146"/>
      <c r="B173" s="542">
        <v>114</v>
      </c>
      <c r="C173" s="828"/>
      <c r="D173" s="829"/>
      <c r="E173"/>
      <c r="F173"/>
      <c r="G173"/>
      <c r="H173"/>
      <c r="I173"/>
      <c r="J173"/>
      <c r="K173"/>
      <c r="L173"/>
      <c r="M173"/>
      <c r="N173"/>
      <c r="O173"/>
      <c r="P173"/>
      <c r="Q173"/>
      <c r="R173"/>
      <c r="S173" s="15"/>
    </row>
    <row r="174" spans="1:19">
      <c r="A174" s="146"/>
      <c r="B174" s="542">
        <v>115</v>
      </c>
      <c r="C174" s="828"/>
      <c r="D174" s="829"/>
      <c r="E174"/>
      <c r="F174"/>
      <c r="G174"/>
      <c r="H174"/>
      <c r="I174"/>
      <c r="J174"/>
      <c r="K174"/>
      <c r="L174"/>
      <c r="M174"/>
      <c r="N174"/>
      <c r="O174"/>
      <c r="P174"/>
      <c r="Q174"/>
      <c r="R174"/>
      <c r="S174" s="15"/>
    </row>
    <row r="175" spans="1:19">
      <c r="A175" s="146"/>
      <c r="B175" s="542">
        <v>116</v>
      </c>
      <c r="C175" s="828"/>
      <c r="D175" s="829"/>
      <c r="E175"/>
      <c r="F175"/>
      <c r="G175"/>
      <c r="H175"/>
      <c r="I175"/>
      <c r="J175"/>
      <c r="K175"/>
      <c r="L175"/>
      <c r="M175"/>
      <c r="N175"/>
      <c r="O175"/>
      <c r="P175"/>
      <c r="Q175"/>
      <c r="R175"/>
      <c r="S175" s="15"/>
    </row>
    <row r="176" spans="1:19">
      <c r="A176" s="146"/>
      <c r="B176" s="542">
        <v>117</v>
      </c>
      <c r="C176" s="828"/>
      <c r="D176" s="829"/>
      <c r="E176"/>
      <c r="F176"/>
      <c r="G176"/>
      <c r="H176"/>
      <c r="I176"/>
      <c r="J176"/>
      <c r="K176"/>
      <c r="L176"/>
      <c r="M176"/>
      <c r="N176"/>
      <c r="O176"/>
      <c r="P176"/>
      <c r="Q176"/>
      <c r="R176"/>
      <c r="S176" s="15"/>
    </row>
    <row r="177" spans="1:19">
      <c r="A177" s="146"/>
      <c r="B177" s="542">
        <v>118</v>
      </c>
      <c r="C177" s="828"/>
      <c r="D177" s="829"/>
      <c r="E177"/>
      <c r="F177"/>
      <c r="G177"/>
      <c r="H177"/>
      <c r="I177"/>
      <c r="J177"/>
      <c r="K177"/>
      <c r="L177"/>
      <c r="M177"/>
      <c r="N177"/>
      <c r="O177"/>
      <c r="P177"/>
      <c r="Q177"/>
      <c r="R177"/>
      <c r="S177" s="15"/>
    </row>
    <row r="178" spans="1:19">
      <c r="A178" s="146"/>
      <c r="B178" s="542">
        <v>119</v>
      </c>
      <c r="C178" s="828"/>
      <c r="D178" s="829"/>
      <c r="E178"/>
      <c r="F178"/>
      <c r="G178"/>
      <c r="H178"/>
      <c r="I178"/>
      <c r="J178"/>
      <c r="K178"/>
      <c r="L178"/>
      <c r="M178"/>
      <c r="N178"/>
      <c r="O178"/>
      <c r="P178"/>
      <c r="Q178"/>
      <c r="R178"/>
      <c r="S178" s="15"/>
    </row>
    <row r="179" spans="1:19">
      <c r="A179" s="146"/>
      <c r="B179" s="542">
        <v>120</v>
      </c>
      <c r="C179" s="828"/>
      <c r="D179" s="829"/>
      <c r="E179"/>
      <c r="F179"/>
      <c r="G179"/>
      <c r="H179"/>
      <c r="I179"/>
      <c r="J179"/>
      <c r="K179"/>
      <c r="L179"/>
      <c r="M179"/>
      <c r="N179"/>
      <c r="O179"/>
      <c r="P179"/>
      <c r="Q179"/>
      <c r="R179"/>
      <c r="S179" s="15"/>
    </row>
    <row r="180" spans="1:19">
      <c r="A180" s="104"/>
      <c r="B180" s="542">
        <v>121</v>
      </c>
      <c r="C180" s="828"/>
      <c r="D180" s="829"/>
      <c r="E180"/>
      <c r="F180"/>
      <c r="G180"/>
      <c r="H180"/>
      <c r="I180"/>
      <c r="J180"/>
      <c r="K180"/>
      <c r="L180"/>
      <c r="M180"/>
      <c r="N180"/>
      <c r="O180"/>
      <c r="P180"/>
      <c r="Q180"/>
      <c r="R180"/>
      <c r="S180" s="15"/>
    </row>
    <row r="181" spans="1:19">
      <c r="A181"/>
      <c r="B181" s="542">
        <v>122</v>
      </c>
      <c r="C181" s="828"/>
      <c r="D181" s="829"/>
      <c r="E181"/>
      <c r="F181"/>
      <c r="G181"/>
      <c r="H181"/>
      <c r="I181"/>
      <c r="J181"/>
      <c r="K181"/>
      <c r="L181"/>
      <c r="M181"/>
      <c r="N181"/>
      <c r="O181"/>
      <c r="P181"/>
      <c r="Q181"/>
      <c r="R181"/>
      <c r="S181" s="15"/>
    </row>
    <row r="182" spans="1:19">
      <c r="A182"/>
      <c r="B182" s="542">
        <v>123</v>
      </c>
      <c r="C182" s="828"/>
      <c r="D182" s="829"/>
      <c r="E182"/>
      <c r="F182"/>
      <c r="G182"/>
      <c r="H182"/>
      <c r="I182"/>
      <c r="J182"/>
      <c r="K182"/>
      <c r="L182"/>
      <c r="M182"/>
      <c r="N182"/>
      <c r="O182"/>
      <c r="P182"/>
      <c r="Q182"/>
      <c r="R182"/>
      <c r="S182" s="15"/>
    </row>
    <row r="183" spans="1:19">
      <c r="A183"/>
      <c r="B183" s="542">
        <v>124</v>
      </c>
      <c r="C183" s="828"/>
      <c r="D183" s="829"/>
      <c r="E183"/>
      <c r="F183"/>
      <c r="G183"/>
      <c r="H183"/>
      <c r="I183"/>
      <c r="J183"/>
      <c r="K183"/>
      <c r="L183"/>
      <c r="M183"/>
      <c r="N183"/>
      <c r="O183"/>
      <c r="P183"/>
      <c r="Q183"/>
      <c r="R183"/>
      <c r="S183" s="15"/>
    </row>
    <row r="184" spans="1:19">
      <c r="A184"/>
      <c r="B184" s="542">
        <v>125</v>
      </c>
      <c r="C184" s="828"/>
      <c r="D184" s="829"/>
      <c r="E184"/>
      <c r="F184"/>
      <c r="G184"/>
      <c r="H184"/>
      <c r="I184"/>
      <c r="J184"/>
      <c r="K184"/>
      <c r="L184"/>
      <c r="M184"/>
      <c r="N184"/>
      <c r="O184"/>
      <c r="P184"/>
      <c r="Q184"/>
      <c r="R184"/>
      <c r="S184" s="15"/>
    </row>
    <row r="185" spans="1:19">
      <c r="A185"/>
      <c r="B185" s="542">
        <v>126</v>
      </c>
      <c r="C185" s="828"/>
      <c r="D185" s="829"/>
      <c r="E185"/>
      <c r="F185"/>
      <c r="G185"/>
      <c r="H185"/>
      <c r="I185"/>
      <c r="J185"/>
      <c r="K185"/>
      <c r="L185"/>
      <c r="M185"/>
      <c r="N185"/>
      <c r="O185"/>
      <c r="P185"/>
      <c r="Q185"/>
      <c r="R185"/>
      <c r="S185" s="15"/>
    </row>
    <row r="186" spans="1:19">
      <c r="A186"/>
      <c r="B186" s="542">
        <v>127</v>
      </c>
      <c r="C186" s="828"/>
      <c r="D186" s="829"/>
      <c r="E186"/>
      <c r="F186"/>
      <c r="G186"/>
      <c r="H186"/>
      <c r="I186"/>
      <c r="J186"/>
      <c r="K186"/>
      <c r="L186"/>
      <c r="M186"/>
      <c r="N186"/>
      <c r="O186"/>
      <c r="P186"/>
      <c r="Q186"/>
      <c r="R186"/>
      <c r="S186" s="15"/>
    </row>
    <row r="187" spans="1:19">
      <c r="A187"/>
      <c r="B187" s="542">
        <v>128</v>
      </c>
      <c r="C187" s="828"/>
      <c r="D187" s="829"/>
      <c r="E187"/>
      <c r="F187"/>
      <c r="G187"/>
      <c r="H187"/>
      <c r="I187"/>
      <c r="J187"/>
      <c r="K187"/>
      <c r="L187"/>
      <c r="M187"/>
      <c r="N187"/>
      <c r="O187"/>
      <c r="P187"/>
      <c r="Q187"/>
      <c r="R187"/>
      <c r="S187" s="15"/>
    </row>
    <row r="188" spans="1:19">
      <c r="A188"/>
      <c r="B188" s="542">
        <v>129</v>
      </c>
      <c r="C188" s="828"/>
      <c r="D188" s="829"/>
      <c r="E188"/>
      <c r="F188"/>
      <c r="G188"/>
      <c r="H188"/>
      <c r="I188"/>
      <c r="J188"/>
      <c r="K188"/>
      <c r="L188"/>
      <c r="M188"/>
      <c r="N188"/>
      <c r="O188"/>
      <c r="P188"/>
      <c r="Q188"/>
      <c r="R188"/>
      <c r="S188" s="15"/>
    </row>
    <row r="189" spans="1:19">
      <c r="A189"/>
      <c r="B189" s="542">
        <v>130</v>
      </c>
      <c r="C189" s="828"/>
      <c r="D189" s="829"/>
      <c r="E189"/>
      <c r="F189"/>
      <c r="G189"/>
      <c r="H189"/>
      <c r="I189"/>
      <c r="J189"/>
      <c r="K189"/>
      <c r="L189"/>
      <c r="M189"/>
      <c r="N189"/>
      <c r="O189"/>
      <c r="P189"/>
      <c r="Q189"/>
      <c r="R189"/>
      <c r="S189" s="15"/>
    </row>
    <row r="190" spans="1:19">
      <c r="A190"/>
      <c r="B190" s="542">
        <v>131</v>
      </c>
      <c r="C190" s="828"/>
      <c r="D190" s="829"/>
      <c r="E190"/>
      <c r="F190"/>
      <c r="G190"/>
      <c r="H190"/>
      <c r="I190"/>
      <c r="J190"/>
      <c r="K190"/>
      <c r="L190"/>
      <c r="M190"/>
      <c r="N190"/>
      <c r="O190"/>
      <c r="P190"/>
      <c r="Q190"/>
      <c r="R190"/>
      <c r="S190" s="15"/>
    </row>
    <row r="191" spans="1:19">
      <c r="A191"/>
      <c r="B191" s="542">
        <v>132</v>
      </c>
      <c r="C191" s="828"/>
      <c r="D191" s="829"/>
      <c r="E191"/>
      <c r="F191"/>
      <c r="G191"/>
      <c r="H191"/>
      <c r="I191"/>
      <c r="J191"/>
      <c r="K191"/>
      <c r="L191"/>
      <c r="M191"/>
      <c r="N191"/>
      <c r="O191"/>
      <c r="P191"/>
      <c r="Q191"/>
      <c r="R191"/>
      <c r="S191" s="15"/>
    </row>
    <row r="192" spans="1:19">
      <c r="A192"/>
      <c r="B192" s="542">
        <v>133</v>
      </c>
      <c r="C192" s="828"/>
      <c r="D192" s="829"/>
      <c r="E192"/>
      <c r="F192"/>
      <c r="G192"/>
      <c r="H192"/>
      <c r="I192"/>
      <c r="J192"/>
      <c r="K192"/>
      <c r="L192"/>
      <c r="M192"/>
      <c r="N192"/>
      <c r="O192"/>
      <c r="P192"/>
      <c r="Q192"/>
      <c r="R192"/>
      <c r="S192" s="15"/>
    </row>
    <row r="193" spans="1:19">
      <c r="A193"/>
      <c r="B193" s="542">
        <v>134</v>
      </c>
      <c r="C193" s="828"/>
      <c r="D193" s="829"/>
      <c r="E193"/>
      <c r="F193"/>
      <c r="G193"/>
      <c r="H193"/>
      <c r="I193"/>
      <c r="J193"/>
      <c r="K193"/>
      <c r="L193"/>
      <c r="M193"/>
      <c r="N193"/>
      <c r="O193"/>
      <c r="P193"/>
      <c r="Q193"/>
      <c r="R193"/>
      <c r="S193" s="15"/>
    </row>
    <row r="194" spans="1:19">
      <c r="A194"/>
      <c r="B194" s="542">
        <v>135</v>
      </c>
      <c r="C194" s="828"/>
      <c r="D194" s="829"/>
      <c r="E194"/>
      <c r="F194"/>
      <c r="G194"/>
      <c r="H194"/>
      <c r="I194"/>
      <c r="J194"/>
      <c r="K194"/>
      <c r="L194"/>
      <c r="M194"/>
      <c r="N194"/>
      <c r="O194"/>
      <c r="P194"/>
      <c r="Q194"/>
      <c r="R194"/>
      <c r="S194" s="15"/>
    </row>
    <row r="195" spans="1:19">
      <c r="A195"/>
      <c r="B195" s="542">
        <v>136</v>
      </c>
      <c r="C195" s="828"/>
      <c r="D195" s="829"/>
      <c r="E195"/>
      <c r="F195"/>
      <c r="G195"/>
      <c r="H195"/>
      <c r="I195"/>
      <c r="J195"/>
      <c r="K195"/>
      <c r="L195"/>
      <c r="M195"/>
      <c r="N195"/>
      <c r="O195"/>
      <c r="P195"/>
      <c r="Q195"/>
      <c r="R195"/>
      <c r="S195" s="15"/>
    </row>
    <row r="196" spans="1:19">
      <c r="A196"/>
      <c r="B196" s="542">
        <v>137</v>
      </c>
      <c r="C196" s="828"/>
      <c r="D196" s="829"/>
      <c r="E196"/>
      <c r="F196"/>
      <c r="G196"/>
      <c r="H196"/>
      <c r="I196"/>
      <c r="J196"/>
      <c r="K196"/>
      <c r="L196"/>
      <c r="M196"/>
      <c r="N196"/>
      <c r="O196"/>
      <c r="P196"/>
      <c r="Q196"/>
      <c r="R196"/>
      <c r="S196" s="15"/>
    </row>
    <row r="197" spans="1:19">
      <c r="A197"/>
      <c r="B197" s="542">
        <v>138</v>
      </c>
      <c r="C197" s="828"/>
      <c r="D197" s="829"/>
      <c r="E197"/>
      <c r="F197"/>
      <c r="G197"/>
      <c r="H197"/>
      <c r="I197"/>
      <c r="J197"/>
      <c r="K197"/>
      <c r="L197"/>
      <c r="M197"/>
      <c r="N197"/>
      <c r="O197"/>
      <c r="P197"/>
      <c r="Q197"/>
      <c r="R197"/>
      <c r="S197" s="15"/>
    </row>
    <row r="198" spans="1:19">
      <c r="A198"/>
      <c r="B198" s="542">
        <v>139</v>
      </c>
      <c r="C198" s="828"/>
      <c r="D198" s="829"/>
      <c r="E198"/>
      <c r="F198"/>
      <c r="G198"/>
      <c r="H198"/>
      <c r="I198"/>
      <c r="J198"/>
      <c r="K198"/>
      <c r="L198"/>
      <c r="M198"/>
      <c r="N198"/>
      <c r="O198"/>
      <c r="P198"/>
      <c r="Q198"/>
      <c r="R198"/>
      <c r="S198" s="15"/>
    </row>
    <row r="199" spans="1:19">
      <c r="A199"/>
      <c r="B199" s="542">
        <v>140</v>
      </c>
      <c r="C199" s="828"/>
      <c r="D199" s="829"/>
      <c r="E199"/>
      <c r="F199"/>
      <c r="G199"/>
      <c r="H199"/>
      <c r="I199"/>
      <c r="J199"/>
      <c r="K199"/>
      <c r="L199"/>
      <c r="M199"/>
      <c r="N199"/>
      <c r="O199"/>
      <c r="P199"/>
      <c r="Q199"/>
      <c r="R199"/>
      <c r="S199" s="15"/>
    </row>
    <row r="200" spans="1:19">
      <c r="A200"/>
      <c r="B200" s="542">
        <v>141</v>
      </c>
      <c r="C200" s="828"/>
      <c r="D200" s="829"/>
      <c r="E200"/>
      <c r="F200"/>
      <c r="G200"/>
      <c r="H200"/>
      <c r="I200"/>
      <c r="J200"/>
      <c r="K200"/>
      <c r="L200"/>
      <c r="M200"/>
      <c r="N200"/>
      <c r="O200"/>
      <c r="P200"/>
      <c r="Q200"/>
      <c r="R200"/>
      <c r="S200" s="15"/>
    </row>
    <row r="201" spans="1:19">
      <c r="A201"/>
      <c r="B201" s="542">
        <v>142</v>
      </c>
      <c r="C201" s="828"/>
      <c r="D201" s="829"/>
      <c r="E201"/>
      <c r="F201"/>
      <c r="G201"/>
      <c r="H201"/>
      <c r="I201"/>
      <c r="J201"/>
      <c r="K201"/>
      <c r="L201"/>
      <c r="M201"/>
      <c r="N201"/>
      <c r="O201"/>
      <c r="P201"/>
      <c r="Q201"/>
      <c r="R201"/>
      <c r="S201" s="15"/>
    </row>
    <row r="202" spans="1:19">
      <c r="A202"/>
      <c r="B202" s="542">
        <v>143</v>
      </c>
      <c r="C202" s="828"/>
      <c r="D202" s="829"/>
      <c r="E202"/>
      <c r="F202"/>
      <c r="G202"/>
      <c r="H202"/>
      <c r="I202"/>
      <c r="J202"/>
      <c r="K202"/>
      <c r="L202"/>
      <c r="M202"/>
      <c r="N202"/>
      <c r="O202"/>
      <c r="P202"/>
      <c r="Q202"/>
      <c r="R202"/>
      <c r="S202" s="15"/>
    </row>
    <row r="203" spans="1:19">
      <c r="A203"/>
      <c r="B203" s="542">
        <v>144</v>
      </c>
      <c r="C203" s="828"/>
      <c r="D203" s="829"/>
      <c r="E203"/>
      <c r="F203"/>
      <c r="G203"/>
      <c r="H203"/>
      <c r="I203"/>
      <c r="J203"/>
      <c r="K203"/>
      <c r="L203"/>
      <c r="M203"/>
      <c r="N203"/>
      <c r="O203"/>
      <c r="P203"/>
      <c r="Q203"/>
      <c r="R203"/>
      <c r="S203" s="15"/>
    </row>
    <row r="204" spans="1:19">
      <c r="A204"/>
      <c r="B204" s="542">
        <v>145</v>
      </c>
      <c r="C204" s="828"/>
      <c r="D204" s="829"/>
      <c r="E204"/>
      <c r="F204"/>
      <c r="G204"/>
      <c r="H204"/>
      <c r="I204"/>
      <c r="J204"/>
      <c r="K204"/>
      <c r="L204"/>
      <c r="M204"/>
      <c r="N204"/>
      <c r="O204"/>
      <c r="P204"/>
      <c r="Q204"/>
      <c r="R204"/>
      <c r="S204" s="15"/>
    </row>
    <row r="205" spans="1:19">
      <c r="A205"/>
      <c r="B205" s="542">
        <v>146</v>
      </c>
      <c r="C205" s="828"/>
      <c r="D205" s="829"/>
      <c r="E205"/>
      <c r="F205"/>
      <c r="G205"/>
      <c r="H205"/>
      <c r="I205"/>
      <c r="J205"/>
      <c r="K205"/>
      <c r="L205"/>
      <c r="M205"/>
      <c r="N205"/>
      <c r="O205"/>
      <c r="P205"/>
      <c r="Q205"/>
      <c r="R205"/>
      <c r="S205" s="15"/>
    </row>
    <row r="206" spans="1:19">
      <c r="A206"/>
      <c r="B206" s="542">
        <v>147</v>
      </c>
      <c r="C206" s="828"/>
      <c r="D206" s="829"/>
      <c r="E206"/>
      <c r="F206"/>
      <c r="G206"/>
      <c r="H206"/>
      <c r="I206"/>
      <c r="J206"/>
      <c r="K206"/>
      <c r="L206"/>
      <c r="M206"/>
      <c r="N206"/>
      <c r="O206"/>
      <c r="P206"/>
      <c r="Q206"/>
      <c r="R206"/>
      <c r="S206" s="15"/>
    </row>
    <row r="207" spans="1:19">
      <c r="A207"/>
      <c r="B207" s="542">
        <v>148</v>
      </c>
      <c r="C207" s="828"/>
      <c r="D207" s="829"/>
      <c r="E207"/>
      <c r="F207"/>
      <c r="G207"/>
      <c r="H207"/>
      <c r="I207"/>
      <c r="J207"/>
      <c r="K207"/>
      <c r="L207"/>
      <c r="M207"/>
      <c r="N207"/>
      <c r="O207"/>
      <c r="P207"/>
      <c r="Q207"/>
      <c r="R207"/>
      <c r="S207" s="15"/>
    </row>
    <row r="208" spans="1:19">
      <c r="A208"/>
      <c r="B208" s="542">
        <v>149</v>
      </c>
      <c r="C208" s="828"/>
      <c r="D208" s="829"/>
      <c r="E208"/>
      <c r="F208"/>
      <c r="G208"/>
      <c r="H208"/>
      <c r="I208"/>
      <c r="J208"/>
      <c r="K208"/>
      <c r="L208"/>
      <c r="M208"/>
      <c r="N208"/>
      <c r="O208"/>
      <c r="P208"/>
      <c r="Q208"/>
      <c r="R208"/>
      <c r="S208" s="15"/>
    </row>
    <row r="209" spans="1:19">
      <c r="A209"/>
      <c r="B209" s="542">
        <v>150</v>
      </c>
      <c r="C209" s="828"/>
      <c r="D209" s="829"/>
      <c r="E209"/>
      <c r="F209"/>
      <c r="G209"/>
      <c r="H209"/>
      <c r="I209"/>
      <c r="J209"/>
      <c r="K209"/>
      <c r="L209"/>
      <c r="M209"/>
      <c r="N209"/>
      <c r="O209"/>
      <c r="P209"/>
      <c r="Q209"/>
      <c r="R209"/>
      <c r="S209" s="15"/>
    </row>
    <row r="210" spans="1:19">
      <c r="A210"/>
      <c r="B210" s="542">
        <v>151</v>
      </c>
      <c r="C210" s="828"/>
      <c r="D210" s="829"/>
      <c r="E210"/>
      <c r="F210"/>
      <c r="G210"/>
      <c r="H210"/>
      <c r="I210"/>
      <c r="J210"/>
      <c r="K210"/>
      <c r="L210"/>
      <c r="M210"/>
      <c r="N210"/>
      <c r="O210"/>
      <c r="P210"/>
      <c r="Q210"/>
      <c r="R210"/>
      <c r="S210" s="15"/>
    </row>
    <row r="211" spans="1:19">
      <c r="A211"/>
      <c r="B211" s="542">
        <v>152</v>
      </c>
      <c r="C211" s="828"/>
      <c r="D211" s="829"/>
      <c r="E211"/>
      <c r="F211"/>
      <c r="G211"/>
      <c r="H211"/>
      <c r="I211"/>
      <c r="J211"/>
      <c r="K211"/>
      <c r="L211"/>
      <c r="M211"/>
      <c r="N211"/>
      <c r="O211"/>
      <c r="P211"/>
      <c r="Q211"/>
      <c r="R211"/>
      <c r="S211" s="15"/>
    </row>
    <row r="212" spans="1:19">
      <c r="A212"/>
      <c r="B212" s="542">
        <v>153</v>
      </c>
      <c r="C212" s="828"/>
      <c r="D212" s="829"/>
      <c r="E212"/>
      <c r="F212"/>
      <c r="G212"/>
      <c r="H212"/>
      <c r="I212"/>
      <c r="J212"/>
      <c r="K212"/>
      <c r="L212"/>
      <c r="M212"/>
      <c r="N212"/>
      <c r="O212"/>
      <c r="P212"/>
      <c r="Q212"/>
      <c r="R212"/>
      <c r="S212" s="15"/>
    </row>
    <row r="213" spans="1:19">
      <c r="A213"/>
      <c r="B213" s="542">
        <v>154</v>
      </c>
      <c r="C213" s="828"/>
      <c r="D213" s="829"/>
      <c r="E213"/>
      <c r="F213"/>
      <c r="G213"/>
      <c r="H213"/>
      <c r="I213"/>
      <c r="J213"/>
      <c r="K213"/>
      <c r="L213"/>
      <c r="M213"/>
      <c r="N213"/>
      <c r="O213"/>
      <c r="P213"/>
      <c r="Q213"/>
      <c r="R213"/>
      <c r="S213" s="15"/>
    </row>
    <row r="214" spans="1:19">
      <c r="A214"/>
      <c r="B214" s="542">
        <v>155</v>
      </c>
      <c r="C214" s="828"/>
      <c r="D214" s="829"/>
      <c r="E214"/>
      <c r="F214"/>
      <c r="G214"/>
      <c r="H214"/>
      <c r="I214"/>
      <c r="J214"/>
      <c r="K214"/>
      <c r="L214"/>
      <c r="M214"/>
      <c r="N214"/>
      <c r="O214"/>
      <c r="P214"/>
      <c r="Q214"/>
      <c r="R214"/>
      <c r="S214" s="15"/>
    </row>
    <row r="215" spans="1:19">
      <c r="A215"/>
      <c r="B215" s="542">
        <v>156</v>
      </c>
      <c r="C215" s="828"/>
      <c r="D215" s="829"/>
      <c r="E215"/>
      <c r="F215"/>
      <c r="G215"/>
      <c r="H215"/>
      <c r="I215"/>
      <c r="J215"/>
      <c r="K215"/>
      <c r="L215"/>
      <c r="M215"/>
      <c r="N215"/>
      <c r="O215"/>
      <c r="P215"/>
      <c r="Q215"/>
      <c r="R215"/>
      <c r="S215" s="15"/>
    </row>
    <row r="216" spans="1:19">
      <c r="A216"/>
      <c r="B216" s="542">
        <v>157</v>
      </c>
      <c r="C216" s="828"/>
      <c r="D216" s="829"/>
      <c r="E216"/>
      <c r="F216"/>
      <c r="G216"/>
      <c r="H216"/>
      <c r="I216"/>
      <c r="J216"/>
      <c r="K216"/>
      <c r="L216"/>
      <c r="M216"/>
      <c r="N216"/>
      <c r="O216"/>
      <c r="P216"/>
      <c r="Q216"/>
      <c r="R216"/>
      <c r="S216" s="15"/>
    </row>
    <row r="217" spans="1:19">
      <c r="A217"/>
      <c r="B217" s="542">
        <v>158</v>
      </c>
      <c r="C217" s="828"/>
      <c r="D217" s="829"/>
      <c r="E217"/>
      <c r="F217"/>
      <c r="G217"/>
      <c r="H217"/>
      <c r="I217"/>
      <c r="J217"/>
      <c r="K217"/>
      <c r="L217"/>
      <c r="M217"/>
      <c r="N217"/>
      <c r="O217"/>
      <c r="P217"/>
      <c r="Q217"/>
      <c r="R217"/>
      <c r="S217" s="15"/>
    </row>
    <row r="218" spans="1:19">
      <c r="A218"/>
      <c r="B218" s="542">
        <v>159</v>
      </c>
      <c r="C218" s="828"/>
      <c r="D218" s="829"/>
      <c r="E218"/>
      <c r="F218"/>
      <c r="G218"/>
      <c r="H218"/>
      <c r="I218"/>
      <c r="J218"/>
      <c r="K218"/>
      <c r="L218"/>
      <c r="M218"/>
      <c r="N218"/>
      <c r="O218"/>
      <c r="P218"/>
      <c r="Q218"/>
      <c r="R218"/>
      <c r="S218" s="15"/>
    </row>
    <row r="219" spans="1:19">
      <c r="A219"/>
      <c r="B219" s="542">
        <v>160</v>
      </c>
      <c r="C219" s="828"/>
      <c r="D219" s="829"/>
      <c r="E219"/>
      <c r="F219"/>
      <c r="G219"/>
      <c r="H219"/>
      <c r="I219"/>
      <c r="J219"/>
      <c r="K219"/>
      <c r="L219"/>
      <c r="M219"/>
      <c r="N219"/>
      <c r="O219"/>
      <c r="P219"/>
      <c r="Q219"/>
      <c r="R219"/>
      <c r="S219" s="15"/>
    </row>
    <row r="220" spans="1:19">
      <c r="A220"/>
      <c r="B220" s="542">
        <v>161</v>
      </c>
      <c r="C220" s="828"/>
      <c r="D220" s="829"/>
      <c r="E220"/>
      <c r="F220"/>
      <c r="G220"/>
      <c r="H220"/>
      <c r="I220"/>
      <c r="J220"/>
      <c r="K220"/>
      <c r="L220"/>
      <c r="M220"/>
      <c r="N220"/>
      <c r="O220"/>
      <c r="P220"/>
      <c r="Q220"/>
      <c r="R220"/>
      <c r="S220" s="15"/>
    </row>
    <row r="221" spans="1:19">
      <c r="A221"/>
      <c r="B221" s="542">
        <v>162</v>
      </c>
      <c r="C221" s="828"/>
      <c r="D221" s="829"/>
      <c r="E221"/>
      <c r="F221"/>
      <c r="G221"/>
      <c r="H221"/>
      <c r="I221"/>
      <c r="J221"/>
      <c r="K221"/>
      <c r="L221"/>
      <c r="M221"/>
      <c r="N221"/>
      <c r="O221"/>
      <c r="P221"/>
      <c r="Q221"/>
      <c r="R221"/>
      <c r="S221" s="15"/>
    </row>
    <row r="222" spans="1:19">
      <c r="A222"/>
      <c r="B222" s="542">
        <v>163</v>
      </c>
      <c r="C222" s="828"/>
      <c r="D222" s="829"/>
      <c r="E222"/>
      <c r="F222"/>
      <c r="G222"/>
      <c r="H222"/>
      <c r="I222"/>
      <c r="J222"/>
      <c r="K222"/>
      <c r="L222"/>
      <c r="M222"/>
      <c r="N222"/>
      <c r="O222"/>
      <c r="P222"/>
      <c r="Q222"/>
      <c r="R222"/>
      <c r="S222" s="15"/>
    </row>
    <row r="223" spans="1:19">
      <c r="A223"/>
      <c r="B223" s="542">
        <v>164</v>
      </c>
      <c r="C223" s="828"/>
      <c r="D223" s="829"/>
      <c r="E223"/>
      <c r="F223"/>
      <c r="G223"/>
      <c r="H223"/>
      <c r="I223"/>
      <c r="J223"/>
      <c r="K223"/>
      <c r="L223"/>
      <c r="M223"/>
      <c r="N223"/>
      <c r="O223"/>
      <c r="P223"/>
      <c r="Q223"/>
      <c r="R223"/>
      <c r="S223" s="15"/>
    </row>
    <row r="224" spans="1:19">
      <c r="A224"/>
      <c r="B224" s="542">
        <v>165</v>
      </c>
      <c r="C224" s="828"/>
      <c r="D224" s="829"/>
      <c r="E224"/>
      <c r="F224"/>
      <c r="G224"/>
      <c r="H224"/>
      <c r="I224"/>
      <c r="J224"/>
      <c r="K224"/>
      <c r="L224"/>
      <c r="M224"/>
      <c r="N224"/>
      <c r="O224"/>
      <c r="P224"/>
      <c r="Q224"/>
      <c r="R224"/>
      <c r="S224" s="15"/>
    </row>
    <row r="225" spans="1:19">
      <c r="A225"/>
      <c r="B225" s="542">
        <v>166</v>
      </c>
      <c r="C225" s="828"/>
      <c r="D225" s="829"/>
      <c r="E225"/>
      <c r="F225"/>
      <c r="G225"/>
      <c r="H225"/>
      <c r="I225"/>
      <c r="J225"/>
      <c r="K225"/>
      <c r="L225"/>
      <c r="M225"/>
      <c r="N225"/>
      <c r="O225"/>
      <c r="P225"/>
      <c r="Q225"/>
      <c r="R225"/>
      <c r="S225" s="15"/>
    </row>
    <row r="226" spans="1:19">
      <c r="A226"/>
      <c r="B226" s="542">
        <v>167</v>
      </c>
      <c r="C226" s="828"/>
      <c r="D226" s="829"/>
      <c r="E226"/>
      <c r="F226"/>
      <c r="G226"/>
      <c r="H226"/>
      <c r="I226"/>
      <c r="J226"/>
      <c r="K226"/>
      <c r="L226"/>
      <c r="M226"/>
      <c r="N226"/>
      <c r="O226"/>
      <c r="P226"/>
      <c r="Q226"/>
      <c r="R226"/>
      <c r="S226" s="15"/>
    </row>
    <row r="227" spans="1:19">
      <c r="A227"/>
      <c r="B227" s="542">
        <v>168</v>
      </c>
      <c r="C227" s="828"/>
      <c r="D227" s="829"/>
      <c r="E227"/>
      <c r="F227"/>
      <c r="G227"/>
      <c r="H227"/>
      <c r="I227"/>
      <c r="J227"/>
      <c r="K227"/>
      <c r="L227"/>
      <c r="M227"/>
      <c r="N227"/>
      <c r="O227"/>
      <c r="P227"/>
      <c r="Q227"/>
      <c r="R227"/>
      <c r="S227" s="15"/>
    </row>
    <row r="228" spans="1:19">
      <c r="A228"/>
      <c r="B228" s="542">
        <v>169</v>
      </c>
      <c r="C228" s="828"/>
      <c r="D228" s="829"/>
      <c r="E228"/>
      <c r="F228"/>
      <c r="G228"/>
      <c r="H228"/>
      <c r="I228"/>
      <c r="J228"/>
      <c r="K228"/>
      <c r="L228"/>
      <c r="M228"/>
      <c r="N228"/>
      <c r="O228"/>
      <c r="P228"/>
      <c r="Q228"/>
      <c r="R228"/>
      <c r="S228" s="15"/>
    </row>
    <row r="229" spans="1:19">
      <c r="A229"/>
      <c r="B229" s="542">
        <v>170</v>
      </c>
      <c r="C229" s="828"/>
      <c r="D229" s="829"/>
      <c r="E229"/>
      <c r="F229"/>
      <c r="G229"/>
      <c r="H229"/>
      <c r="I229"/>
      <c r="J229"/>
      <c r="K229"/>
      <c r="L229"/>
      <c r="M229"/>
      <c r="N229"/>
      <c r="O229"/>
      <c r="P229"/>
      <c r="Q229"/>
      <c r="R229"/>
      <c r="S229" s="15"/>
    </row>
    <row r="230" spans="1:19">
      <c r="A230"/>
      <c r="B230" s="542">
        <v>171</v>
      </c>
      <c r="C230" s="828"/>
      <c r="D230" s="829"/>
      <c r="E230"/>
      <c r="F230"/>
      <c r="G230"/>
      <c r="H230"/>
      <c r="I230"/>
      <c r="J230"/>
      <c r="K230"/>
      <c r="L230"/>
      <c r="M230"/>
      <c r="N230"/>
      <c r="O230"/>
      <c r="P230"/>
      <c r="Q230"/>
      <c r="R230"/>
      <c r="S230" s="15"/>
    </row>
    <row r="231" spans="1:19">
      <c r="A231"/>
      <c r="B231" s="542">
        <v>172</v>
      </c>
      <c r="C231" s="828"/>
      <c r="D231" s="830"/>
      <c r="E231"/>
      <c r="F231"/>
      <c r="G231"/>
      <c r="H231"/>
      <c r="I231"/>
      <c r="J231"/>
      <c r="K231"/>
      <c r="L231"/>
      <c r="M231"/>
      <c r="N231"/>
      <c r="O231"/>
      <c r="P231"/>
      <c r="Q231"/>
      <c r="R231"/>
      <c r="S231" s="15"/>
    </row>
    <row r="232" spans="1:19">
      <c r="A232"/>
      <c r="B232" s="542">
        <v>173</v>
      </c>
      <c r="C232" s="831"/>
      <c r="D232" s="830"/>
      <c r="E232"/>
      <c r="F232"/>
      <c r="G232"/>
      <c r="H232"/>
      <c r="I232"/>
      <c r="J232"/>
      <c r="K232"/>
      <c r="L232"/>
      <c r="M232"/>
      <c r="N232"/>
      <c r="O232"/>
      <c r="P232"/>
      <c r="Q232"/>
      <c r="R232"/>
      <c r="S232" s="15"/>
    </row>
    <row r="233" spans="1:19">
      <c r="A233"/>
      <c r="B233" s="542">
        <v>174</v>
      </c>
      <c r="C233" s="831"/>
      <c r="D233" s="830"/>
      <c r="E233"/>
      <c r="F233"/>
      <c r="G233"/>
      <c r="H233"/>
      <c r="I233"/>
      <c r="J233"/>
      <c r="K233"/>
      <c r="L233"/>
      <c r="M233"/>
      <c r="N233"/>
      <c r="O233"/>
      <c r="P233"/>
      <c r="Q233"/>
      <c r="R233"/>
      <c r="S233" s="15"/>
    </row>
    <row r="234" spans="1:19">
      <c r="A234"/>
      <c r="B234" s="542">
        <v>175</v>
      </c>
      <c r="C234" s="831"/>
      <c r="D234" s="830"/>
      <c r="E234"/>
      <c r="F234"/>
      <c r="G234"/>
      <c r="H234"/>
      <c r="I234"/>
      <c r="J234"/>
      <c r="K234"/>
      <c r="L234"/>
      <c r="M234"/>
      <c r="N234"/>
      <c r="O234"/>
      <c r="P234"/>
      <c r="Q234"/>
      <c r="R234"/>
      <c r="S234" s="15"/>
    </row>
    <row r="235" spans="1:19">
      <c r="A235"/>
      <c r="B235" s="542">
        <v>176</v>
      </c>
      <c r="C235" s="831"/>
      <c r="D235" s="830"/>
      <c r="E235"/>
      <c r="F235"/>
      <c r="G235"/>
      <c r="H235"/>
      <c r="I235"/>
      <c r="J235"/>
      <c r="K235"/>
      <c r="L235"/>
      <c r="M235"/>
      <c r="N235"/>
      <c r="O235"/>
      <c r="P235"/>
      <c r="Q235"/>
      <c r="R235"/>
      <c r="S235" s="15"/>
    </row>
    <row r="236" spans="1:19">
      <c r="A236"/>
      <c r="B236" s="542">
        <v>177</v>
      </c>
      <c r="C236" s="831"/>
      <c r="D236" s="830"/>
      <c r="E236"/>
      <c r="F236"/>
      <c r="G236"/>
      <c r="H236"/>
      <c r="I236"/>
      <c r="J236"/>
      <c r="K236"/>
      <c r="L236"/>
      <c r="M236"/>
      <c r="N236"/>
      <c r="O236"/>
      <c r="P236"/>
      <c r="Q236"/>
      <c r="R236"/>
      <c r="S236" s="15"/>
    </row>
    <row r="237" spans="1:19">
      <c r="A237"/>
      <c r="B237" s="542">
        <v>178</v>
      </c>
      <c r="C237" s="831"/>
      <c r="D237" s="830"/>
      <c r="E237"/>
      <c r="F237"/>
      <c r="G237"/>
      <c r="H237"/>
      <c r="I237"/>
      <c r="J237"/>
      <c r="K237"/>
      <c r="L237"/>
      <c r="M237"/>
      <c r="N237"/>
      <c r="O237"/>
      <c r="P237"/>
      <c r="Q237"/>
      <c r="R237"/>
      <c r="S237" s="15"/>
    </row>
    <row r="238" spans="1:19">
      <c r="A238"/>
      <c r="B238" s="542">
        <v>179</v>
      </c>
      <c r="C238" s="831"/>
      <c r="D238" s="830"/>
      <c r="E238"/>
      <c r="F238"/>
      <c r="G238"/>
      <c r="H238"/>
      <c r="I238"/>
      <c r="J238"/>
      <c r="K238"/>
      <c r="L238"/>
      <c r="M238"/>
      <c r="N238"/>
      <c r="O238"/>
      <c r="P238"/>
      <c r="Q238"/>
      <c r="R238"/>
      <c r="S238" s="15"/>
    </row>
    <row r="239" spans="1:19">
      <c r="A239"/>
      <c r="B239" s="542">
        <v>180</v>
      </c>
      <c r="C239" s="831"/>
      <c r="D239" s="830"/>
      <c r="E239"/>
      <c r="F239"/>
      <c r="G239"/>
      <c r="H239"/>
      <c r="I239"/>
      <c r="J239"/>
      <c r="K239"/>
      <c r="L239"/>
      <c r="M239"/>
      <c r="N239"/>
      <c r="O239"/>
      <c r="P239"/>
      <c r="Q239"/>
      <c r="R239"/>
      <c r="S239" s="15"/>
    </row>
    <row r="240" spans="1:19">
      <c r="A240"/>
      <c r="B240" s="542">
        <v>181</v>
      </c>
      <c r="C240" s="831"/>
      <c r="D240" s="830"/>
      <c r="E240"/>
      <c r="F240"/>
      <c r="G240"/>
      <c r="H240"/>
      <c r="I240"/>
      <c r="J240"/>
      <c r="K240"/>
      <c r="L240"/>
      <c r="M240"/>
      <c r="N240"/>
      <c r="O240"/>
      <c r="P240"/>
      <c r="Q240"/>
      <c r="R240"/>
      <c r="S240" s="15"/>
    </row>
    <row r="241" spans="1:19">
      <c r="A241"/>
      <c r="B241" s="542">
        <v>182</v>
      </c>
      <c r="C241" s="831"/>
      <c r="D241" s="830"/>
      <c r="E241"/>
      <c r="F241"/>
      <c r="G241"/>
      <c r="H241"/>
      <c r="I241"/>
      <c r="J241"/>
      <c r="K241"/>
      <c r="L241"/>
      <c r="M241"/>
      <c r="N241"/>
      <c r="O241"/>
      <c r="P241"/>
      <c r="Q241"/>
      <c r="R241"/>
      <c r="S241" s="15"/>
    </row>
    <row r="242" spans="1:19">
      <c r="A242"/>
      <c r="B242" s="542">
        <v>183</v>
      </c>
      <c r="C242" s="831"/>
      <c r="D242" s="830"/>
      <c r="E242"/>
      <c r="F242"/>
      <c r="G242"/>
      <c r="H242"/>
      <c r="I242"/>
      <c r="J242"/>
      <c r="K242"/>
      <c r="L242"/>
      <c r="M242"/>
      <c r="N242"/>
      <c r="O242"/>
      <c r="P242"/>
      <c r="Q242"/>
      <c r="R242"/>
      <c r="S242" s="15"/>
    </row>
    <row r="243" spans="1:19">
      <c r="A243"/>
      <c r="B243" s="542">
        <v>184</v>
      </c>
      <c r="C243" s="831"/>
      <c r="D243" s="830"/>
      <c r="E243"/>
      <c r="F243"/>
      <c r="G243"/>
      <c r="H243"/>
      <c r="I243"/>
      <c r="J243"/>
      <c r="K243"/>
      <c r="L243"/>
      <c r="M243"/>
      <c r="N243"/>
      <c r="O243"/>
      <c r="P243"/>
      <c r="Q243"/>
      <c r="R243"/>
      <c r="S243" s="15"/>
    </row>
    <row r="244" spans="1:19">
      <c r="A244"/>
      <c r="B244" s="542">
        <v>185</v>
      </c>
      <c r="C244" s="831"/>
      <c r="D244" s="830"/>
      <c r="E244"/>
      <c r="F244"/>
      <c r="G244"/>
      <c r="H244"/>
      <c r="I244"/>
      <c r="J244"/>
      <c r="K244"/>
      <c r="L244"/>
      <c r="M244"/>
      <c r="N244"/>
      <c r="O244"/>
      <c r="P244"/>
      <c r="Q244"/>
      <c r="R244"/>
      <c r="S244" s="15"/>
    </row>
    <row r="245" spans="1:19">
      <c r="A245"/>
      <c r="B245" s="542">
        <v>186</v>
      </c>
      <c r="C245" s="831"/>
      <c r="D245" s="830"/>
      <c r="E245"/>
      <c r="F245"/>
      <c r="G245"/>
      <c r="H245"/>
      <c r="I245"/>
      <c r="J245"/>
      <c r="K245"/>
      <c r="L245"/>
      <c r="M245"/>
      <c r="N245"/>
      <c r="O245"/>
      <c r="P245"/>
      <c r="Q245"/>
      <c r="R245"/>
      <c r="S245" s="15"/>
    </row>
    <row r="246" spans="1:19">
      <c r="A246"/>
      <c r="B246" s="542">
        <v>187</v>
      </c>
      <c r="C246" s="831"/>
      <c r="D246" s="830"/>
      <c r="E246"/>
      <c r="F246"/>
      <c r="G246"/>
      <c r="H246"/>
      <c r="I246"/>
      <c r="J246"/>
      <c r="K246"/>
      <c r="L246"/>
      <c r="M246"/>
      <c r="N246"/>
      <c r="O246"/>
      <c r="P246"/>
      <c r="Q246"/>
      <c r="R246"/>
      <c r="S246" s="15"/>
    </row>
    <row r="247" spans="1:19">
      <c r="A247"/>
      <c r="B247" s="542">
        <v>188</v>
      </c>
      <c r="C247" s="831"/>
      <c r="D247" s="830"/>
      <c r="E247"/>
      <c r="F247"/>
      <c r="G247"/>
      <c r="H247"/>
      <c r="I247"/>
      <c r="J247"/>
      <c r="K247"/>
      <c r="L247"/>
      <c r="M247"/>
      <c r="N247"/>
      <c r="O247"/>
      <c r="P247"/>
      <c r="Q247"/>
      <c r="R247"/>
      <c r="S247" s="15"/>
    </row>
    <row r="248" spans="1:19">
      <c r="A248"/>
      <c r="B248" s="542">
        <v>189</v>
      </c>
      <c r="C248" s="831"/>
      <c r="D248" s="830"/>
      <c r="E248"/>
      <c r="F248"/>
      <c r="G248"/>
      <c r="H248"/>
      <c r="I248"/>
      <c r="J248"/>
      <c r="K248"/>
      <c r="L248"/>
      <c r="M248"/>
      <c r="N248"/>
      <c r="O248"/>
      <c r="P248"/>
      <c r="Q248"/>
      <c r="R248"/>
      <c r="S248" s="15"/>
    </row>
    <row r="249" spans="1:19">
      <c r="A249"/>
      <c r="B249" s="542">
        <v>190</v>
      </c>
      <c r="C249" s="831"/>
      <c r="D249" s="830"/>
      <c r="E249"/>
      <c r="F249"/>
      <c r="G249"/>
      <c r="H249"/>
      <c r="I249"/>
      <c r="J249"/>
      <c r="K249"/>
      <c r="L249"/>
      <c r="M249"/>
      <c r="N249"/>
      <c r="O249"/>
      <c r="P249"/>
      <c r="Q249"/>
      <c r="R249"/>
      <c r="S249" s="15"/>
    </row>
    <row r="250" spans="1:19">
      <c r="A250"/>
      <c r="B250" s="542">
        <v>191</v>
      </c>
      <c r="C250" s="831"/>
      <c r="D250" s="830"/>
      <c r="E250"/>
      <c r="F250"/>
      <c r="G250"/>
      <c r="H250"/>
      <c r="I250"/>
      <c r="J250"/>
      <c r="K250"/>
      <c r="L250"/>
      <c r="M250"/>
      <c r="N250"/>
      <c r="O250"/>
      <c r="P250"/>
      <c r="Q250"/>
      <c r="R250"/>
      <c r="S250" s="15"/>
    </row>
    <row r="251" spans="1:19">
      <c r="A251"/>
      <c r="B251" s="542">
        <v>192</v>
      </c>
      <c r="C251" s="831"/>
      <c r="D251" s="830"/>
      <c r="E251"/>
      <c r="F251"/>
      <c r="G251"/>
      <c r="H251"/>
      <c r="I251"/>
      <c r="J251"/>
      <c r="K251"/>
      <c r="L251"/>
      <c r="M251"/>
      <c r="N251"/>
      <c r="O251"/>
      <c r="P251"/>
      <c r="Q251"/>
      <c r="R251"/>
      <c r="S251" s="15"/>
    </row>
    <row r="252" spans="1:19">
      <c r="A252"/>
      <c r="B252" s="542">
        <v>193</v>
      </c>
      <c r="C252" s="831"/>
      <c r="D252" s="830"/>
      <c r="E252"/>
      <c r="F252"/>
      <c r="G252"/>
      <c r="H252"/>
      <c r="I252"/>
      <c r="J252"/>
      <c r="K252"/>
      <c r="L252"/>
      <c r="M252"/>
      <c r="N252"/>
      <c r="O252"/>
      <c r="P252"/>
      <c r="Q252"/>
      <c r="R252"/>
      <c r="S252" s="15"/>
    </row>
    <row r="253" spans="1:19">
      <c r="A253"/>
      <c r="B253" s="542">
        <v>194</v>
      </c>
      <c r="C253" s="831"/>
      <c r="D253" s="830"/>
      <c r="E253"/>
      <c r="F253"/>
      <c r="G253"/>
      <c r="H253"/>
      <c r="I253"/>
      <c r="J253"/>
      <c r="K253"/>
      <c r="L253"/>
      <c r="M253"/>
      <c r="N253"/>
      <c r="O253"/>
      <c r="P253"/>
      <c r="Q253"/>
      <c r="R253"/>
      <c r="S253" s="15"/>
    </row>
    <row r="254" spans="1:19">
      <c r="A254"/>
      <c r="B254" s="542">
        <v>195</v>
      </c>
      <c r="C254" s="831"/>
      <c r="D254" s="830"/>
      <c r="E254"/>
      <c r="F254"/>
      <c r="G254"/>
      <c r="H254"/>
      <c r="I254"/>
      <c r="J254"/>
      <c r="K254"/>
      <c r="L254"/>
      <c r="M254"/>
      <c r="N254"/>
      <c r="O254"/>
      <c r="P254"/>
      <c r="Q254"/>
      <c r="R254"/>
      <c r="S254" s="15"/>
    </row>
    <row r="255" spans="1:19">
      <c r="A255"/>
      <c r="B255" s="542">
        <v>196</v>
      </c>
      <c r="C255" s="831"/>
      <c r="D255" s="830"/>
      <c r="E255"/>
      <c r="F255"/>
      <c r="G255"/>
      <c r="H255"/>
      <c r="I255"/>
      <c r="J255"/>
      <c r="K255"/>
      <c r="L255"/>
      <c r="M255"/>
      <c r="N255"/>
      <c r="O255"/>
      <c r="P255"/>
      <c r="Q255"/>
      <c r="R255"/>
      <c r="S255" s="15"/>
    </row>
    <row r="256" spans="1:19">
      <c r="A256"/>
      <c r="B256" s="542">
        <v>197</v>
      </c>
      <c r="C256" s="831"/>
      <c r="D256" s="830"/>
      <c r="E256"/>
      <c r="F256"/>
      <c r="G256"/>
      <c r="H256"/>
      <c r="I256"/>
      <c r="J256"/>
      <c r="K256"/>
      <c r="L256"/>
      <c r="M256"/>
      <c r="N256"/>
      <c r="O256"/>
      <c r="P256"/>
      <c r="Q256"/>
      <c r="R256"/>
      <c r="S256" s="15"/>
    </row>
    <row r="257" spans="1:19">
      <c r="A257"/>
      <c r="B257" s="542">
        <v>198</v>
      </c>
      <c r="C257" s="831"/>
      <c r="D257" s="830"/>
      <c r="E257"/>
      <c r="F257"/>
      <c r="G257"/>
      <c r="H257"/>
      <c r="I257"/>
      <c r="J257"/>
      <c r="K257"/>
      <c r="L257"/>
      <c r="M257"/>
      <c r="N257"/>
      <c r="O257"/>
      <c r="P257"/>
      <c r="Q257"/>
      <c r="R257"/>
      <c r="S257" s="15"/>
    </row>
    <row r="258" spans="1:19">
      <c r="A258"/>
      <c r="B258" s="542">
        <v>199</v>
      </c>
      <c r="C258" s="831"/>
      <c r="D258" s="830"/>
      <c r="E258"/>
      <c r="F258"/>
      <c r="G258"/>
      <c r="H258"/>
      <c r="I258"/>
      <c r="J258"/>
      <c r="K258"/>
      <c r="L258"/>
      <c r="M258"/>
      <c r="N258"/>
      <c r="O258"/>
      <c r="P258"/>
      <c r="Q258"/>
      <c r="R258"/>
      <c r="S258" s="15"/>
    </row>
    <row r="259" spans="1:19">
      <c r="A259"/>
      <c r="B259" s="542">
        <v>200</v>
      </c>
      <c r="C259" s="831"/>
      <c r="D259" s="830"/>
      <c r="E259"/>
      <c r="F259"/>
      <c r="G259"/>
      <c r="H259"/>
      <c r="I259"/>
      <c r="J259"/>
      <c r="K259"/>
      <c r="L259"/>
      <c r="M259"/>
      <c r="N259"/>
      <c r="O259"/>
      <c r="P259"/>
      <c r="Q259"/>
      <c r="R259"/>
      <c r="S259" s="15"/>
    </row>
    <row r="260" spans="1:19">
      <c r="A260"/>
      <c r="B260" s="542">
        <v>201</v>
      </c>
      <c r="C260" s="831"/>
      <c r="D260" s="830"/>
      <c r="E260"/>
      <c r="F260"/>
      <c r="G260"/>
      <c r="H260"/>
      <c r="I260"/>
      <c r="J260"/>
      <c r="K260"/>
      <c r="L260"/>
      <c r="M260"/>
      <c r="N260"/>
      <c r="O260"/>
      <c r="P260"/>
      <c r="Q260"/>
      <c r="R260"/>
      <c r="S260" s="15"/>
    </row>
    <row r="261" spans="1:19">
      <c r="A261"/>
      <c r="B261" s="542">
        <v>202</v>
      </c>
      <c r="C261" s="831"/>
      <c r="D261" s="830"/>
      <c r="E261"/>
      <c r="F261"/>
      <c r="G261"/>
      <c r="H261"/>
      <c r="I261"/>
      <c r="J261"/>
      <c r="K261"/>
      <c r="L261"/>
      <c r="M261"/>
      <c r="N261"/>
      <c r="O261"/>
      <c r="P261"/>
      <c r="Q261"/>
      <c r="R261"/>
      <c r="S261" s="15"/>
    </row>
    <row r="262" spans="1:19">
      <c r="A262"/>
      <c r="B262" s="542">
        <v>203</v>
      </c>
      <c r="C262" s="831"/>
      <c r="D262" s="830"/>
      <c r="E262"/>
      <c r="F262"/>
      <c r="G262"/>
      <c r="H262"/>
      <c r="I262"/>
      <c r="J262"/>
      <c r="K262"/>
      <c r="L262"/>
      <c r="M262"/>
      <c r="N262"/>
      <c r="O262"/>
      <c r="P262"/>
      <c r="Q262"/>
      <c r="R262"/>
      <c r="S262" s="15"/>
    </row>
    <row r="263" spans="1:19">
      <c r="A263"/>
      <c r="B263" s="542">
        <v>204</v>
      </c>
      <c r="C263" s="831"/>
      <c r="D263" s="830"/>
      <c r="E263"/>
      <c r="F263"/>
      <c r="G263"/>
      <c r="H263"/>
      <c r="I263"/>
      <c r="J263"/>
      <c r="K263"/>
      <c r="L263"/>
      <c r="M263"/>
      <c r="N263"/>
      <c r="O263"/>
      <c r="P263"/>
      <c r="Q263"/>
      <c r="R263"/>
      <c r="S263" s="15"/>
    </row>
    <row r="264" spans="1:19">
      <c r="A264"/>
      <c r="B264" s="542">
        <v>205</v>
      </c>
      <c r="C264" s="831"/>
      <c r="D264" s="830"/>
      <c r="E264"/>
      <c r="F264"/>
      <c r="G264"/>
      <c r="H264"/>
      <c r="I264"/>
      <c r="J264"/>
      <c r="K264"/>
      <c r="L264"/>
      <c r="M264"/>
      <c r="N264"/>
      <c r="O264"/>
      <c r="P264"/>
      <c r="Q264"/>
      <c r="R264"/>
      <c r="S264" s="15"/>
    </row>
    <row r="265" spans="1:19">
      <c r="A265"/>
      <c r="B265" s="542">
        <v>206</v>
      </c>
      <c r="C265" s="831"/>
      <c r="D265" s="830"/>
      <c r="E265"/>
      <c r="F265"/>
      <c r="G265"/>
      <c r="H265"/>
      <c r="I265"/>
      <c r="J265"/>
      <c r="K265"/>
      <c r="L265"/>
      <c r="M265"/>
      <c r="N265"/>
      <c r="O265"/>
      <c r="P265"/>
      <c r="Q265"/>
      <c r="R265"/>
      <c r="S265" s="15"/>
    </row>
    <row r="266" spans="1:19">
      <c r="A266"/>
      <c r="B266" s="542">
        <v>207</v>
      </c>
      <c r="C266" s="831"/>
      <c r="D266" s="830"/>
      <c r="E266"/>
      <c r="F266"/>
      <c r="G266"/>
      <c r="H266"/>
      <c r="I266"/>
      <c r="J266"/>
      <c r="K266"/>
      <c r="L266"/>
      <c r="M266"/>
      <c r="N266"/>
      <c r="O266"/>
      <c r="P266"/>
      <c r="Q266"/>
      <c r="R266"/>
      <c r="S266" s="15"/>
    </row>
    <row r="267" spans="1:19">
      <c r="A267"/>
      <c r="B267" s="542">
        <v>208</v>
      </c>
      <c r="C267" s="831"/>
      <c r="D267" s="830"/>
      <c r="E267"/>
      <c r="F267"/>
      <c r="G267"/>
      <c r="H267"/>
      <c r="I267"/>
      <c r="J267"/>
      <c r="K267"/>
      <c r="L267"/>
      <c r="M267"/>
      <c r="N267"/>
      <c r="O267"/>
      <c r="P267"/>
      <c r="Q267"/>
      <c r="R267"/>
      <c r="S267" s="15"/>
    </row>
    <row r="268" spans="1:19">
      <c r="A268"/>
      <c r="B268" s="542">
        <v>209</v>
      </c>
      <c r="C268" s="831"/>
      <c r="D268" s="830"/>
      <c r="E268"/>
      <c r="F268"/>
      <c r="G268"/>
      <c r="H268"/>
      <c r="I268"/>
      <c r="J268"/>
      <c r="K268"/>
      <c r="L268"/>
      <c r="M268"/>
      <c r="N268"/>
      <c r="O268"/>
      <c r="P268"/>
      <c r="Q268"/>
      <c r="R268"/>
      <c r="S268" s="15"/>
    </row>
    <row r="269" spans="1:19">
      <c r="A269"/>
      <c r="B269" s="542">
        <v>210</v>
      </c>
      <c r="C269" s="831"/>
      <c r="D269" s="830"/>
      <c r="E269"/>
      <c r="F269"/>
      <c r="G269"/>
      <c r="H269"/>
      <c r="I269"/>
      <c r="J269"/>
      <c r="K269"/>
      <c r="L269"/>
      <c r="M269"/>
      <c r="N269"/>
      <c r="O269"/>
      <c r="P269"/>
      <c r="Q269"/>
      <c r="R269"/>
      <c r="S269" s="15"/>
    </row>
    <row r="270" spans="1:19">
      <c r="A270"/>
      <c r="B270" s="542">
        <v>211</v>
      </c>
      <c r="C270" s="831"/>
      <c r="D270" s="830"/>
      <c r="E270"/>
      <c r="F270"/>
      <c r="G270"/>
      <c r="H270"/>
      <c r="I270"/>
      <c r="J270"/>
      <c r="K270"/>
      <c r="L270"/>
      <c r="M270"/>
      <c r="N270"/>
      <c r="O270"/>
      <c r="P270"/>
      <c r="Q270"/>
      <c r="R270"/>
      <c r="S270" s="15"/>
    </row>
    <row r="271" spans="1:19">
      <c r="A271"/>
      <c r="B271" s="542">
        <v>212</v>
      </c>
      <c r="C271" s="831"/>
      <c r="D271" s="830"/>
      <c r="E271"/>
      <c r="F271"/>
      <c r="G271"/>
      <c r="H271"/>
      <c r="I271"/>
      <c r="J271"/>
      <c r="K271"/>
      <c r="L271"/>
      <c r="M271"/>
      <c r="N271"/>
      <c r="O271"/>
      <c r="P271"/>
      <c r="Q271"/>
      <c r="R271"/>
      <c r="S271" s="15"/>
    </row>
    <row r="272" spans="1:19">
      <c r="A272"/>
      <c r="B272" s="542">
        <v>213</v>
      </c>
      <c r="C272" s="831"/>
      <c r="D272" s="830"/>
      <c r="E272"/>
      <c r="F272"/>
      <c r="G272"/>
      <c r="H272"/>
      <c r="I272"/>
      <c r="J272"/>
      <c r="K272"/>
      <c r="L272"/>
      <c r="M272"/>
      <c r="N272"/>
      <c r="O272"/>
      <c r="P272"/>
      <c r="Q272"/>
      <c r="R272"/>
      <c r="S272" s="15"/>
    </row>
    <row r="273" spans="1:19">
      <c r="A273"/>
      <c r="B273" s="542">
        <v>214</v>
      </c>
      <c r="C273" s="831"/>
      <c r="D273" s="830"/>
      <c r="E273"/>
      <c r="F273"/>
      <c r="G273"/>
      <c r="H273"/>
      <c r="I273"/>
      <c r="J273"/>
      <c r="K273"/>
      <c r="L273"/>
      <c r="M273"/>
      <c r="N273"/>
      <c r="O273"/>
      <c r="P273"/>
      <c r="Q273"/>
      <c r="R273"/>
      <c r="S273" s="15"/>
    </row>
    <row r="274" spans="1:19">
      <c r="A274"/>
      <c r="B274" s="542">
        <v>215</v>
      </c>
      <c r="C274" s="831"/>
      <c r="D274" s="830"/>
      <c r="E274"/>
      <c r="F274"/>
      <c r="G274"/>
      <c r="H274"/>
      <c r="I274"/>
      <c r="J274"/>
      <c r="K274"/>
      <c r="L274"/>
      <c r="M274"/>
      <c r="N274"/>
      <c r="O274"/>
      <c r="P274"/>
      <c r="Q274"/>
      <c r="R274"/>
      <c r="S274" s="15"/>
    </row>
    <row r="275" spans="1:19">
      <c r="A275"/>
      <c r="B275" s="542">
        <v>216</v>
      </c>
      <c r="C275" s="831"/>
      <c r="D275" s="830"/>
      <c r="E275"/>
      <c r="F275"/>
      <c r="G275"/>
      <c r="H275"/>
      <c r="I275"/>
      <c r="J275"/>
      <c r="K275"/>
      <c r="L275"/>
      <c r="M275"/>
      <c r="N275"/>
      <c r="O275"/>
      <c r="P275"/>
      <c r="Q275"/>
      <c r="R275"/>
      <c r="S275" s="15"/>
    </row>
    <row r="276" spans="1:19">
      <c r="A276"/>
      <c r="B276" s="542">
        <v>217</v>
      </c>
      <c r="C276" s="831"/>
      <c r="D276" s="830"/>
      <c r="E276"/>
      <c r="F276"/>
      <c r="G276"/>
      <c r="H276"/>
      <c r="I276"/>
      <c r="J276"/>
      <c r="K276"/>
      <c r="L276"/>
      <c r="M276"/>
      <c r="N276"/>
      <c r="O276"/>
      <c r="P276"/>
      <c r="Q276"/>
      <c r="R276"/>
      <c r="S276" s="15"/>
    </row>
    <row r="277" spans="1:19">
      <c r="A277"/>
      <c r="B277" s="542">
        <v>218</v>
      </c>
      <c r="C277" s="831"/>
      <c r="D277" s="830"/>
      <c r="E277"/>
      <c r="F277"/>
      <c r="G277"/>
      <c r="H277"/>
      <c r="I277"/>
      <c r="J277"/>
      <c r="K277"/>
      <c r="L277"/>
      <c r="M277"/>
      <c r="N277"/>
      <c r="O277"/>
      <c r="P277"/>
      <c r="Q277"/>
      <c r="R277"/>
      <c r="S277" s="15"/>
    </row>
    <row r="278" spans="1:19">
      <c r="A278"/>
      <c r="B278" s="542">
        <v>219</v>
      </c>
      <c r="C278" s="831"/>
      <c r="D278" s="830"/>
      <c r="E278"/>
      <c r="F278"/>
      <c r="G278"/>
      <c r="H278"/>
      <c r="I278"/>
      <c r="J278"/>
      <c r="K278"/>
      <c r="L278"/>
      <c r="M278"/>
      <c r="N278"/>
      <c r="O278"/>
      <c r="P278"/>
      <c r="Q278"/>
      <c r="R278"/>
      <c r="S278" s="15"/>
    </row>
    <row r="279" spans="1:19">
      <c r="A279"/>
      <c r="B279" s="542">
        <v>220</v>
      </c>
      <c r="C279" s="831"/>
      <c r="D279" s="830"/>
      <c r="E279"/>
      <c r="F279"/>
      <c r="G279"/>
      <c r="H279"/>
      <c r="I279"/>
      <c r="J279"/>
      <c r="K279"/>
      <c r="L279"/>
      <c r="M279"/>
      <c r="N279"/>
      <c r="O279"/>
      <c r="P279"/>
      <c r="Q279"/>
      <c r="R279"/>
      <c r="S279" s="15"/>
    </row>
    <row r="280" spans="1:19">
      <c r="A280"/>
      <c r="B280" s="542">
        <v>221</v>
      </c>
      <c r="C280" s="831"/>
      <c r="D280" s="830"/>
      <c r="E280"/>
      <c r="F280"/>
      <c r="G280"/>
      <c r="H280"/>
      <c r="I280"/>
      <c r="J280"/>
      <c r="K280"/>
      <c r="L280"/>
      <c r="M280"/>
      <c r="N280"/>
      <c r="O280"/>
      <c r="P280"/>
      <c r="Q280"/>
      <c r="R280"/>
      <c r="S280" s="15"/>
    </row>
    <row r="281" spans="1:19">
      <c r="A281"/>
      <c r="B281" s="542">
        <v>222</v>
      </c>
      <c r="C281" s="831"/>
      <c r="D281" s="830"/>
      <c r="E281"/>
      <c r="F281"/>
      <c r="G281"/>
      <c r="H281"/>
      <c r="I281"/>
      <c r="J281"/>
      <c r="K281"/>
      <c r="L281"/>
      <c r="M281"/>
      <c r="N281"/>
      <c r="O281"/>
      <c r="P281"/>
      <c r="Q281"/>
      <c r="R281"/>
      <c r="S281" s="15"/>
    </row>
    <row r="282" spans="1:19">
      <c r="A282"/>
      <c r="B282" s="542">
        <v>223</v>
      </c>
      <c r="C282" s="831"/>
      <c r="D282" s="830"/>
      <c r="E282"/>
      <c r="F282"/>
      <c r="G282"/>
      <c r="H282"/>
      <c r="I282"/>
      <c r="J282"/>
      <c r="K282"/>
      <c r="L282"/>
      <c r="M282"/>
      <c r="N282"/>
      <c r="O282"/>
      <c r="P282"/>
      <c r="Q282"/>
      <c r="R282"/>
      <c r="S282" s="15"/>
    </row>
    <row r="283" spans="1:19">
      <c r="A283"/>
      <c r="B283" s="542">
        <v>224</v>
      </c>
      <c r="C283" s="831"/>
      <c r="D283" s="830"/>
      <c r="E283"/>
      <c r="F283"/>
      <c r="G283"/>
      <c r="H283"/>
      <c r="I283"/>
      <c r="J283"/>
      <c r="K283"/>
      <c r="L283"/>
      <c r="M283"/>
      <c r="N283"/>
      <c r="O283"/>
      <c r="P283"/>
      <c r="Q283"/>
      <c r="R283"/>
      <c r="S283" s="15"/>
    </row>
    <row r="284" spans="1:19">
      <c r="A284"/>
      <c r="B284" s="542">
        <v>225</v>
      </c>
      <c r="C284" s="831"/>
      <c r="D284" s="830"/>
      <c r="E284"/>
      <c r="F284"/>
      <c r="G284"/>
      <c r="H284"/>
      <c r="I284"/>
      <c r="J284"/>
      <c r="K284"/>
      <c r="L284"/>
      <c r="M284"/>
      <c r="N284"/>
      <c r="O284"/>
      <c r="P284"/>
      <c r="Q284"/>
      <c r="R284"/>
      <c r="S284" s="15"/>
    </row>
    <row r="285" spans="1:19">
      <c r="A285"/>
      <c r="B285" s="542">
        <v>226</v>
      </c>
      <c r="C285" s="831"/>
      <c r="D285" s="830"/>
      <c r="E285"/>
      <c r="F285"/>
      <c r="G285"/>
      <c r="H285"/>
      <c r="I285"/>
      <c r="J285"/>
      <c r="K285"/>
      <c r="L285"/>
      <c r="M285"/>
      <c r="N285"/>
      <c r="O285"/>
      <c r="P285"/>
      <c r="Q285"/>
      <c r="R285"/>
      <c r="S285" s="15"/>
    </row>
    <row r="286" spans="1:19">
      <c r="A286"/>
      <c r="B286" s="542">
        <v>227</v>
      </c>
      <c r="C286" s="831"/>
      <c r="D286" s="830"/>
      <c r="E286"/>
      <c r="F286"/>
      <c r="G286"/>
      <c r="H286"/>
      <c r="I286"/>
      <c r="J286"/>
      <c r="K286"/>
      <c r="L286"/>
      <c r="M286"/>
      <c r="N286"/>
      <c r="O286"/>
      <c r="P286"/>
      <c r="Q286"/>
      <c r="R286"/>
      <c r="S286" s="15"/>
    </row>
    <row r="287" spans="1:19">
      <c r="A287"/>
      <c r="B287" s="542">
        <v>228</v>
      </c>
      <c r="C287" s="831"/>
      <c r="D287" s="830"/>
      <c r="E287"/>
      <c r="F287"/>
      <c r="G287"/>
      <c r="H287"/>
      <c r="I287"/>
      <c r="J287"/>
      <c r="K287"/>
      <c r="L287"/>
      <c r="M287"/>
      <c r="N287"/>
      <c r="O287"/>
      <c r="P287"/>
      <c r="Q287"/>
      <c r="R287"/>
      <c r="S287" s="15"/>
    </row>
    <row r="288" spans="1:19">
      <c r="A288"/>
      <c r="B288" s="542">
        <v>229</v>
      </c>
      <c r="C288" s="831"/>
      <c r="D288" s="830"/>
      <c r="E288"/>
      <c r="F288"/>
      <c r="G288"/>
      <c r="H288"/>
      <c r="I288"/>
      <c r="J288"/>
      <c r="K288"/>
      <c r="L288"/>
      <c r="M288"/>
      <c r="N288"/>
      <c r="O288"/>
      <c r="P288"/>
      <c r="Q288"/>
      <c r="R288"/>
      <c r="S288" s="15"/>
    </row>
    <row r="289" spans="1:19">
      <c r="A289"/>
      <c r="B289" s="542">
        <v>230</v>
      </c>
      <c r="C289" s="831"/>
      <c r="D289" s="830"/>
      <c r="E289"/>
      <c r="F289"/>
      <c r="G289"/>
      <c r="H289"/>
      <c r="I289"/>
      <c r="J289"/>
      <c r="K289"/>
      <c r="L289"/>
      <c r="M289"/>
      <c r="N289"/>
      <c r="O289"/>
      <c r="P289"/>
      <c r="Q289"/>
      <c r="R289"/>
      <c r="S289" s="15"/>
    </row>
    <row r="290" spans="1:19">
      <c r="A290"/>
      <c r="B290" s="542">
        <v>231</v>
      </c>
      <c r="C290" s="831"/>
      <c r="D290" s="830"/>
      <c r="E290"/>
      <c r="F290"/>
      <c r="G290"/>
      <c r="H290"/>
      <c r="I290"/>
      <c r="J290"/>
      <c r="K290"/>
      <c r="L290"/>
      <c r="M290"/>
      <c r="N290"/>
      <c r="O290"/>
      <c r="P290"/>
      <c r="Q290"/>
      <c r="R290"/>
      <c r="S290" s="15"/>
    </row>
    <row r="291" spans="1:19">
      <c r="A291"/>
      <c r="B291" s="542">
        <v>232</v>
      </c>
      <c r="C291" s="831"/>
      <c r="D291" s="830"/>
      <c r="E291"/>
      <c r="F291"/>
      <c r="G291"/>
      <c r="H291"/>
      <c r="I291"/>
      <c r="J291"/>
      <c r="K291"/>
      <c r="L291"/>
      <c r="M291"/>
      <c r="N291"/>
      <c r="O291"/>
      <c r="P291"/>
      <c r="Q291"/>
      <c r="R291"/>
      <c r="S291" s="15"/>
    </row>
    <row r="292" spans="1:19">
      <c r="A292"/>
      <c r="B292" s="542">
        <v>233</v>
      </c>
      <c r="C292" s="831"/>
      <c r="D292" s="830"/>
      <c r="E292"/>
      <c r="F292"/>
      <c r="G292"/>
      <c r="H292"/>
      <c r="I292"/>
      <c r="J292"/>
      <c r="K292"/>
      <c r="L292"/>
      <c r="M292"/>
      <c r="N292"/>
      <c r="O292"/>
      <c r="P292"/>
      <c r="Q292"/>
      <c r="R292"/>
      <c r="S292" s="15"/>
    </row>
    <row r="293" spans="1:19">
      <c r="A293"/>
      <c r="B293" s="542">
        <v>234</v>
      </c>
      <c r="C293" s="831"/>
      <c r="D293" s="830"/>
      <c r="E293"/>
      <c r="F293"/>
      <c r="G293"/>
      <c r="H293"/>
      <c r="I293"/>
      <c r="J293"/>
      <c r="K293"/>
      <c r="L293"/>
      <c r="M293"/>
      <c r="N293"/>
      <c r="O293"/>
      <c r="P293"/>
      <c r="Q293"/>
      <c r="R293"/>
      <c r="S293" s="15"/>
    </row>
    <row r="294" spans="1:19">
      <c r="A294"/>
      <c r="B294" s="542">
        <v>235</v>
      </c>
      <c r="C294" s="831"/>
      <c r="D294" s="830"/>
      <c r="E294"/>
      <c r="F294"/>
      <c r="G294"/>
      <c r="H294"/>
      <c r="I294"/>
      <c r="J294"/>
      <c r="K294"/>
      <c r="L294"/>
      <c r="M294"/>
      <c r="N294"/>
      <c r="O294"/>
      <c r="P294"/>
      <c r="Q294"/>
      <c r="R294"/>
      <c r="S294" s="15"/>
    </row>
    <row r="295" spans="1:19">
      <c r="A295"/>
      <c r="B295" s="542">
        <v>236</v>
      </c>
      <c r="C295" s="831"/>
      <c r="D295" s="830"/>
      <c r="E295"/>
      <c r="F295"/>
      <c r="G295"/>
      <c r="H295"/>
      <c r="I295"/>
      <c r="J295"/>
      <c r="K295"/>
      <c r="L295"/>
      <c r="M295"/>
      <c r="N295"/>
      <c r="O295"/>
      <c r="P295"/>
      <c r="Q295"/>
      <c r="R295"/>
      <c r="S295" s="15"/>
    </row>
    <row r="296" spans="1:19">
      <c r="A296"/>
      <c r="B296" s="542">
        <v>237</v>
      </c>
      <c r="C296" s="831"/>
      <c r="D296" s="830"/>
      <c r="E296"/>
      <c r="F296"/>
      <c r="G296"/>
      <c r="H296"/>
      <c r="I296"/>
      <c r="J296"/>
      <c r="K296"/>
      <c r="L296"/>
      <c r="M296"/>
      <c r="N296"/>
      <c r="O296"/>
      <c r="P296"/>
      <c r="Q296"/>
      <c r="R296"/>
      <c r="S296" s="15"/>
    </row>
    <row r="297" spans="1:19">
      <c r="A297"/>
      <c r="B297" s="542">
        <v>238</v>
      </c>
      <c r="C297" s="831"/>
      <c r="D297" s="830"/>
      <c r="E297"/>
      <c r="F297"/>
      <c r="G297"/>
      <c r="H297"/>
      <c r="I297"/>
      <c r="J297"/>
      <c r="K297"/>
      <c r="L297"/>
      <c r="M297"/>
      <c r="N297"/>
      <c r="O297"/>
      <c r="P297"/>
      <c r="Q297"/>
      <c r="R297"/>
      <c r="S297" s="15"/>
    </row>
    <row r="298" spans="1:19">
      <c r="A298"/>
      <c r="B298" s="542">
        <v>239</v>
      </c>
      <c r="C298" s="831"/>
      <c r="D298" s="830"/>
      <c r="E298"/>
      <c r="F298"/>
      <c r="G298"/>
      <c r="H298"/>
      <c r="I298"/>
      <c r="J298"/>
      <c r="K298"/>
      <c r="L298"/>
      <c r="M298"/>
      <c r="N298"/>
      <c r="O298"/>
      <c r="P298"/>
      <c r="Q298"/>
      <c r="R298"/>
      <c r="S298" s="15"/>
    </row>
    <row r="299" spans="1:19">
      <c r="A299"/>
      <c r="B299" s="542">
        <v>240</v>
      </c>
      <c r="C299" s="831"/>
      <c r="D299" s="830"/>
      <c r="E299"/>
      <c r="F299"/>
      <c r="G299"/>
      <c r="H299"/>
      <c r="I299"/>
      <c r="J299"/>
      <c r="K299"/>
      <c r="L299"/>
      <c r="M299"/>
      <c r="N299"/>
      <c r="O299"/>
      <c r="P299"/>
      <c r="Q299"/>
      <c r="R299"/>
      <c r="S299" s="15"/>
    </row>
    <row r="300" spans="1:19">
      <c r="A300"/>
      <c r="B300" s="542">
        <v>241</v>
      </c>
      <c r="C300" s="831"/>
      <c r="D300" s="830"/>
      <c r="E300"/>
      <c r="F300"/>
      <c r="G300"/>
      <c r="H300"/>
      <c r="I300"/>
      <c r="J300"/>
      <c r="K300"/>
      <c r="L300"/>
      <c r="M300"/>
      <c r="N300"/>
      <c r="O300"/>
      <c r="P300"/>
      <c r="Q300"/>
      <c r="R300"/>
      <c r="S300" s="15"/>
    </row>
    <row r="301" spans="1:19">
      <c r="A301"/>
      <c r="B301" s="542">
        <v>242</v>
      </c>
      <c r="C301" s="831"/>
      <c r="D301" s="830"/>
      <c r="E301"/>
      <c r="F301"/>
      <c r="G301"/>
      <c r="H301"/>
      <c r="I301"/>
      <c r="J301"/>
      <c r="K301"/>
      <c r="L301"/>
      <c r="M301"/>
      <c r="N301"/>
      <c r="O301"/>
      <c r="P301"/>
      <c r="Q301"/>
      <c r="R301"/>
      <c r="S301" s="15"/>
    </row>
    <row r="302" spans="1:19">
      <c r="A302"/>
      <c r="B302" s="542">
        <v>243</v>
      </c>
      <c r="C302" s="831"/>
      <c r="D302" s="830"/>
      <c r="E302"/>
      <c r="F302"/>
      <c r="G302"/>
      <c r="H302"/>
      <c r="I302"/>
      <c r="J302"/>
      <c r="K302"/>
      <c r="L302"/>
      <c r="M302"/>
      <c r="N302"/>
      <c r="O302"/>
      <c r="P302"/>
      <c r="Q302"/>
      <c r="R302"/>
      <c r="S302" s="15"/>
    </row>
    <row r="303" spans="1:19">
      <c r="A303"/>
      <c r="B303" s="542">
        <v>244</v>
      </c>
      <c r="C303" s="831"/>
      <c r="D303" s="830"/>
      <c r="E303"/>
      <c r="F303"/>
      <c r="G303"/>
      <c r="H303"/>
      <c r="I303"/>
      <c r="J303"/>
      <c r="K303"/>
      <c r="L303"/>
      <c r="M303"/>
      <c r="N303"/>
      <c r="O303"/>
      <c r="P303"/>
      <c r="Q303"/>
      <c r="R303"/>
      <c r="S303" s="15"/>
    </row>
    <row r="304" spans="1:19">
      <c r="A304"/>
      <c r="B304" s="542">
        <v>245</v>
      </c>
      <c r="C304" s="831"/>
      <c r="D304" s="830"/>
      <c r="E304"/>
      <c r="F304"/>
      <c r="G304"/>
      <c r="H304"/>
      <c r="I304"/>
      <c r="J304"/>
      <c r="K304"/>
      <c r="L304"/>
      <c r="M304"/>
      <c r="N304"/>
      <c r="O304"/>
      <c r="P304"/>
      <c r="Q304"/>
      <c r="R304"/>
      <c r="S304" s="15"/>
    </row>
    <row r="305" spans="1:19">
      <c r="A305"/>
      <c r="B305" s="542">
        <v>246</v>
      </c>
      <c r="C305" s="831"/>
      <c r="D305" s="830"/>
      <c r="E305"/>
      <c r="F305"/>
      <c r="G305"/>
      <c r="H305"/>
      <c r="I305"/>
      <c r="J305"/>
      <c r="K305"/>
      <c r="L305"/>
      <c r="M305"/>
      <c r="N305"/>
      <c r="O305"/>
      <c r="P305"/>
      <c r="Q305"/>
      <c r="R305"/>
      <c r="S305" s="15"/>
    </row>
    <row r="306" spans="1:19">
      <c r="A306"/>
      <c r="B306" s="542">
        <v>247</v>
      </c>
      <c r="C306" s="831"/>
      <c r="D306" s="830"/>
      <c r="E306"/>
      <c r="F306"/>
      <c r="G306"/>
      <c r="H306"/>
      <c r="I306"/>
      <c r="J306"/>
      <c r="K306"/>
      <c r="L306"/>
      <c r="M306"/>
      <c r="N306"/>
      <c r="O306"/>
      <c r="P306"/>
      <c r="Q306"/>
      <c r="R306"/>
      <c r="S306" s="15"/>
    </row>
    <row r="307" spans="1:19">
      <c r="A307"/>
      <c r="B307" s="542">
        <v>248</v>
      </c>
      <c r="C307" s="831"/>
      <c r="D307" s="830"/>
      <c r="E307"/>
      <c r="F307"/>
      <c r="G307"/>
      <c r="H307"/>
      <c r="I307"/>
      <c r="J307"/>
      <c r="K307"/>
      <c r="L307"/>
      <c r="M307"/>
      <c r="N307"/>
      <c r="O307"/>
      <c r="P307"/>
      <c r="Q307"/>
      <c r="R307"/>
      <c r="S307" s="15"/>
    </row>
    <row r="308" spans="1:19">
      <c r="A308"/>
      <c r="B308" s="542">
        <v>249</v>
      </c>
      <c r="C308" s="831"/>
      <c r="D308" s="830"/>
      <c r="E308"/>
      <c r="F308"/>
      <c r="G308"/>
      <c r="H308"/>
      <c r="I308"/>
      <c r="J308"/>
      <c r="K308"/>
      <c r="L308"/>
      <c r="M308"/>
      <c r="N308"/>
      <c r="O308"/>
      <c r="P308"/>
      <c r="Q308"/>
      <c r="R308"/>
      <c r="S308" s="15"/>
    </row>
    <row r="309" spans="1:19">
      <c r="A309"/>
      <c r="B309" s="542">
        <v>250</v>
      </c>
      <c r="C309" s="831"/>
      <c r="D309" s="830"/>
      <c r="E309"/>
      <c r="F309"/>
      <c r="G309"/>
      <c r="H309"/>
      <c r="I309"/>
      <c r="J309"/>
      <c r="K309"/>
      <c r="L309"/>
      <c r="M309"/>
      <c r="N309"/>
      <c r="O309"/>
      <c r="P309"/>
      <c r="Q309"/>
      <c r="R309"/>
      <c r="S309" s="15"/>
    </row>
    <row r="310" spans="1:19">
      <c r="A310"/>
      <c r="B310" s="542">
        <v>251</v>
      </c>
      <c r="C310" s="831"/>
      <c r="D310" s="830"/>
      <c r="E310"/>
      <c r="F310"/>
      <c r="G310"/>
      <c r="H310"/>
      <c r="I310"/>
      <c r="J310"/>
      <c r="K310"/>
      <c r="L310"/>
      <c r="M310"/>
      <c r="N310"/>
      <c r="O310"/>
      <c r="P310"/>
      <c r="Q310"/>
      <c r="R310"/>
      <c r="S310" s="15"/>
    </row>
    <row r="311" spans="1:19">
      <c r="A311"/>
      <c r="B311" s="542">
        <v>252</v>
      </c>
      <c r="C311" s="831"/>
      <c r="D311" s="830"/>
      <c r="E311"/>
      <c r="F311"/>
      <c r="G311"/>
      <c r="H311"/>
      <c r="I311"/>
      <c r="J311"/>
      <c r="K311"/>
      <c r="L311"/>
      <c r="M311"/>
      <c r="N311"/>
      <c r="O311"/>
      <c r="P311"/>
      <c r="Q311"/>
      <c r="R311"/>
      <c r="S311" s="15"/>
    </row>
    <row r="312" spans="1:19">
      <c r="A312"/>
      <c r="B312" s="542">
        <v>253</v>
      </c>
      <c r="C312" s="831"/>
      <c r="D312" s="830"/>
      <c r="E312"/>
      <c r="F312"/>
      <c r="G312"/>
      <c r="H312"/>
      <c r="I312"/>
      <c r="J312"/>
      <c r="K312"/>
      <c r="L312"/>
      <c r="M312"/>
      <c r="N312"/>
      <c r="O312"/>
      <c r="P312"/>
      <c r="Q312"/>
      <c r="R312"/>
      <c r="S312" s="15"/>
    </row>
    <row r="313" spans="1:19">
      <c r="A313"/>
      <c r="B313" s="542">
        <v>254</v>
      </c>
      <c r="C313" s="831"/>
      <c r="D313" s="830"/>
      <c r="E313"/>
      <c r="F313"/>
      <c r="G313"/>
      <c r="H313"/>
      <c r="I313"/>
      <c r="J313"/>
      <c r="K313"/>
      <c r="L313"/>
      <c r="M313"/>
      <c r="N313"/>
      <c r="O313"/>
      <c r="P313"/>
      <c r="Q313"/>
      <c r="R313"/>
      <c r="S313" s="15"/>
    </row>
    <row r="314" spans="1:19">
      <c r="A314"/>
      <c r="B314" s="542">
        <v>255</v>
      </c>
      <c r="C314" s="831"/>
      <c r="D314" s="830"/>
      <c r="E314"/>
      <c r="F314"/>
      <c r="G314"/>
      <c r="H314"/>
      <c r="I314"/>
      <c r="J314"/>
      <c r="K314"/>
      <c r="L314"/>
      <c r="M314"/>
      <c r="N314"/>
      <c r="O314"/>
      <c r="P314"/>
      <c r="Q314"/>
      <c r="R314"/>
      <c r="S314" s="15"/>
    </row>
    <row r="315" spans="1:19">
      <c r="A315"/>
      <c r="B315" s="542">
        <v>256</v>
      </c>
      <c r="C315" s="831"/>
      <c r="D315" s="830"/>
      <c r="E315"/>
      <c r="F315"/>
      <c r="G315"/>
      <c r="H315"/>
      <c r="I315"/>
      <c r="J315"/>
      <c r="K315"/>
      <c r="L315"/>
      <c r="M315"/>
      <c r="N315"/>
      <c r="O315"/>
      <c r="P315"/>
      <c r="Q315"/>
      <c r="R315"/>
      <c r="S315" s="15"/>
    </row>
    <row r="316" spans="1:19">
      <c r="A316"/>
      <c r="B316" s="542">
        <v>257</v>
      </c>
      <c r="C316" s="831"/>
      <c r="D316" s="830"/>
      <c r="E316"/>
      <c r="F316"/>
      <c r="G316"/>
      <c r="H316"/>
      <c r="I316"/>
      <c r="J316"/>
      <c r="K316"/>
      <c r="L316"/>
      <c r="M316"/>
      <c r="N316"/>
      <c r="O316"/>
      <c r="P316"/>
      <c r="Q316"/>
      <c r="R316"/>
      <c r="S316" s="15"/>
    </row>
    <row r="317" spans="1:19">
      <c r="A317"/>
      <c r="B317" s="542">
        <v>258</v>
      </c>
      <c r="C317" s="831"/>
      <c r="D317" s="830"/>
      <c r="E317"/>
      <c r="F317"/>
      <c r="G317"/>
      <c r="H317"/>
      <c r="I317"/>
      <c r="J317"/>
      <c r="K317"/>
      <c r="L317"/>
      <c r="M317"/>
      <c r="N317"/>
      <c r="O317"/>
      <c r="P317"/>
      <c r="Q317"/>
      <c r="R317"/>
      <c r="S317" s="15"/>
    </row>
    <row r="318" spans="1:19">
      <c r="A318"/>
      <c r="B318" s="542">
        <v>259</v>
      </c>
      <c r="C318" s="831"/>
      <c r="D318" s="830"/>
      <c r="E318"/>
      <c r="F318"/>
      <c r="G318"/>
      <c r="H318"/>
      <c r="I318"/>
      <c r="J318"/>
      <c r="K318"/>
      <c r="L318"/>
      <c r="M318"/>
      <c r="N318"/>
      <c r="O318"/>
      <c r="P318"/>
      <c r="Q318"/>
      <c r="R318"/>
      <c r="S318" s="15"/>
    </row>
    <row r="319" spans="1:19">
      <c r="A319"/>
      <c r="B319" s="542">
        <v>260</v>
      </c>
      <c r="C319" s="831"/>
      <c r="D319" s="830"/>
      <c r="E319"/>
      <c r="F319"/>
      <c r="G319"/>
      <c r="H319"/>
      <c r="I319"/>
      <c r="J319"/>
      <c r="K319"/>
      <c r="L319"/>
      <c r="M319"/>
      <c r="N319"/>
      <c r="O319"/>
      <c r="P319"/>
      <c r="Q319"/>
      <c r="R319"/>
      <c r="S319" s="15"/>
    </row>
    <row r="320" spans="1:19">
      <c r="A320"/>
      <c r="B320" s="542">
        <v>261</v>
      </c>
      <c r="C320" s="831"/>
      <c r="D320" s="830"/>
      <c r="E320"/>
      <c r="F320"/>
      <c r="G320"/>
      <c r="H320"/>
      <c r="I320"/>
      <c r="J320"/>
      <c r="K320"/>
      <c r="L320"/>
      <c r="M320"/>
      <c r="N320"/>
      <c r="O320"/>
      <c r="P320"/>
      <c r="Q320"/>
      <c r="R320"/>
      <c r="S320" s="15"/>
    </row>
    <row r="321" spans="1:19">
      <c r="A321"/>
      <c r="B321" s="542">
        <v>262</v>
      </c>
      <c r="C321" s="831"/>
      <c r="D321" s="830"/>
      <c r="E321"/>
      <c r="F321"/>
      <c r="G321"/>
      <c r="H321"/>
      <c r="I321"/>
      <c r="J321"/>
      <c r="K321"/>
      <c r="L321"/>
      <c r="M321"/>
      <c r="N321"/>
      <c r="O321"/>
      <c r="P321"/>
      <c r="Q321"/>
      <c r="R321"/>
      <c r="S321" s="15"/>
    </row>
    <row r="322" spans="1:19">
      <c r="A322"/>
      <c r="B322" s="542">
        <v>263</v>
      </c>
      <c r="C322" s="831"/>
      <c r="D322" s="830"/>
      <c r="E322"/>
      <c r="F322"/>
      <c r="G322"/>
      <c r="H322"/>
      <c r="I322"/>
      <c r="J322"/>
      <c r="K322"/>
      <c r="L322"/>
      <c r="M322"/>
      <c r="N322"/>
      <c r="O322"/>
      <c r="P322"/>
      <c r="Q322"/>
      <c r="R322"/>
      <c r="S322" s="15"/>
    </row>
    <row r="323" spans="1:19">
      <c r="A323"/>
      <c r="B323" s="542">
        <v>264</v>
      </c>
      <c r="C323" s="831"/>
      <c r="D323" s="830"/>
      <c r="E323"/>
      <c r="F323"/>
      <c r="G323"/>
      <c r="H323"/>
      <c r="I323"/>
      <c r="J323"/>
      <c r="K323"/>
      <c r="L323"/>
      <c r="M323"/>
      <c r="N323"/>
      <c r="O323"/>
      <c r="P323"/>
      <c r="Q323"/>
      <c r="R323"/>
      <c r="S323" s="15"/>
    </row>
    <row r="324" spans="1:19">
      <c r="A324"/>
      <c r="B324" s="542">
        <v>265</v>
      </c>
      <c r="C324" s="831"/>
      <c r="D324" s="830"/>
      <c r="E324"/>
      <c r="F324"/>
      <c r="G324"/>
      <c r="H324"/>
      <c r="I324"/>
      <c r="J324"/>
      <c r="K324"/>
      <c r="L324"/>
      <c r="M324"/>
      <c r="N324"/>
      <c r="O324"/>
      <c r="P324"/>
      <c r="Q324"/>
      <c r="R324"/>
      <c r="S324" s="15"/>
    </row>
    <row r="325" spans="1:19">
      <c r="A325"/>
      <c r="B325" s="542">
        <v>266</v>
      </c>
      <c r="C325" s="831"/>
      <c r="D325" s="830"/>
      <c r="E325"/>
      <c r="F325"/>
      <c r="G325"/>
      <c r="H325"/>
      <c r="I325"/>
      <c r="J325"/>
      <c r="K325"/>
      <c r="L325"/>
      <c r="M325"/>
      <c r="N325"/>
      <c r="O325"/>
      <c r="P325"/>
      <c r="Q325"/>
      <c r="R325"/>
      <c r="S325" s="15"/>
    </row>
    <row r="326" spans="1:19">
      <c r="A326"/>
      <c r="B326" s="542">
        <v>267</v>
      </c>
      <c r="C326" s="831"/>
      <c r="D326" s="830"/>
      <c r="E326"/>
      <c r="F326"/>
      <c r="G326"/>
      <c r="H326"/>
      <c r="I326"/>
      <c r="J326"/>
      <c r="K326"/>
      <c r="L326"/>
      <c r="M326"/>
      <c r="N326"/>
      <c r="O326"/>
      <c r="P326"/>
      <c r="Q326"/>
      <c r="R326"/>
      <c r="S326" s="15"/>
    </row>
    <row r="327" spans="1:19">
      <c r="A327"/>
      <c r="B327" s="542">
        <v>268</v>
      </c>
      <c r="C327" s="831"/>
      <c r="D327" s="830"/>
      <c r="E327"/>
      <c r="F327"/>
      <c r="G327"/>
      <c r="H327"/>
      <c r="I327"/>
      <c r="J327"/>
      <c r="K327"/>
      <c r="L327"/>
      <c r="M327"/>
      <c r="N327"/>
      <c r="O327"/>
      <c r="P327"/>
      <c r="Q327"/>
      <c r="R327"/>
      <c r="S327" s="15"/>
    </row>
    <row r="328" spans="1:19">
      <c r="A328"/>
      <c r="B328" s="542">
        <v>269</v>
      </c>
      <c r="C328" s="831"/>
      <c r="D328" s="830"/>
      <c r="E328"/>
      <c r="F328"/>
      <c r="G328"/>
      <c r="H328"/>
      <c r="I328"/>
      <c r="J328"/>
      <c r="K328"/>
      <c r="L328"/>
      <c r="M328"/>
      <c r="N328"/>
      <c r="O328"/>
      <c r="P328"/>
      <c r="Q328"/>
      <c r="R328"/>
      <c r="S328" s="15"/>
    </row>
    <row r="329" spans="1:19">
      <c r="A329"/>
      <c r="B329" s="542">
        <v>270</v>
      </c>
      <c r="C329" s="831"/>
      <c r="D329" s="830"/>
      <c r="E329"/>
      <c r="F329"/>
      <c r="G329"/>
      <c r="H329"/>
      <c r="I329"/>
      <c r="J329"/>
      <c r="K329"/>
      <c r="L329"/>
      <c r="M329"/>
      <c r="N329"/>
      <c r="O329"/>
      <c r="P329"/>
      <c r="Q329"/>
      <c r="R329"/>
      <c r="S329" s="15"/>
    </row>
    <row r="330" spans="1:19">
      <c r="A330"/>
      <c r="B330" s="542">
        <v>271</v>
      </c>
      <c r="C330" s="831"/>
      <c r="D330" s="830"/>
      <c r="E330"/>
      <c r="F330"/>
      <c r="G330"/>
      <c r="H330"/>
      <c r="I330"/>
      <c r="J330"/>
      <c r="K330"/>
      <c r="L330"/>
      <c r="M330"/>
      <c r="N330"/>
      <c r="O330"/>
      <c r="P330"/>
      <c r="Q330"/>
      <c r="R330"/>
      <c r="S330" s="15"/>
    </row>
    <row r="331" spans="1:19">
      <c r="A331"/>
      <c r="B331" s="542">
        <v>272</v>
      </c>
      <c r="C331" s="831"/>
      <c r="D331" s="830"/>
      <c r="E331"/>
      <c r="F331"/>
      <c r="G331"/>
      <c r="H331"/>
      <c r="I331"/>
      <c r="J331"/>
      <c r="K331"/>
      <c r="L331"/>
      <c r="M331"/>
      <c r="N331"/>
      <c r="O331"/>
      <c r="P331"/>
      <c r="Q331"/>
      <c r="R331"/>
      <c r="S331" s="15"/>
    </row>
    <row r="332" spans="1:19">
      <c r="A332"/>
      <c r="B332" s="542">
        <v>273</v>
      </c>
      <c r="C332" s="831"/>
      <c r="D332" s="830"/>
      <c r="E332"/>
      <c r="F332"/>
      <c r="G332"/>
      <c r="H332"/>
      <c r="I332"/>
      <c r="J332"/>
      <c r="K332"/>
      <c r="L332"/>
      <c r="M332"/>
      <c r="N332"/>
      <c r="O332"/>
      <c r="P332"/>
      <c r="Q332"/>
      <c r="R332"/>
      <c r="S332" s="15"/>
    </row>
    <row r="333" spans="1:19">
      <c r="A333"/>
      <c r="B333" s="542">
        <v>274</v>
      </c>
      <c r="C333" s="831"/>
      <c r="D333" s="830"/>
      <c r="E333"/>
      <c r="F333"/>
      <c r="G333"/>
      <c r="H333"/>
      <c r="I333"/>
      <c r="J333"/>
      <c r="K333"/>
      <c r="L333"/>
      <c r="M333"/>
      <c r="N333"/>
      <c r="O333"/>
      <c r="P333"/>
      <c r="Q333"/>
      <c r="R333"/>
      <c r="S333" s="15"/>
    </row>
    <row r="334" spans="1:19">
      <c r="A334"/>
      <c r="B334" s="542">
        <v>275</v>
      </c>
      <c r="C334" s="831"/>
      <c r="D334" s="830"/>
      <c r="E334"/>
      <c r="F334"/>
      <c r="G334"/>
      <c r="H334"/>
      <c r="I334"/>
      <c r="J334"/>
      <c r="K334"/>
      <c r="L334"/>
      <c r="M334"/>
      <c r="N334"/>
      <c r="O334"/>
      <c r="P334"/>
      <c r="Q334"/>
      <c r="R334"/>
      <c r="S334" s="15"/>
    </row>
    <row r="335" spans="1:19">
      <c r="A335"/>
      <c r="B335" s="542">
        <v>276</v>
      </c>
      <c r="C335" s="831"/>
      <c r="D335" s="830"/>
      <c r="E335"/>
      <c r="F335"/>
      <c r="G335"/>
      <c r="H335"/>
      <c r="I335"/>
      <c r="J335"/>
      <c r="K335"/>
      <c r="L335"/>
      <c r="M335"/>
      <c r="N335"/>
      <c r="O335"/>
      <c r="P335"/>
      <c r="Q335"/>
      <c r="R335"/>
      <c r="S335" s="15"/>
    </row>
    <row r="336" spans="1:19">
      <c r="A336"/>
      <c r="B336" s="542">
        <v>277</v>
      </c>
      <c r="C336" s="831"/>
      <c r="D336" s="830"/>
      <c r="E336"/>
      <c r="F336"/>
      <c r="G336"/>
      <c r="H336"/>
      <c r="I336"/>
      <c r="J336"/>
      <c r="K336"/>
      <c r="L336"/>
      <c r="M336"/>
      <c r="N336"/>
      <c r="O336"/>
      <c r="P336"/>
      <c r="Q336"/>
      <c r="R336"/>
      <c r="S336" s="15"/>
    </row>
    <row r="337" spans="1:19">
      <c r="A337"/>
      <c r="B337" s="542">
        <v>278</v>
      </c>
      <c r="C337" s="831"/>
      <c r="D337" s="830"/>
      <c r="E337"/>
      <c r="F337"/>
      <c r="G337"/>
      <c r="H337"/>
      <c r="I337"/>
      <c r="J337"/>
      <c r="K337"/>
      <c r="L337"/>
      <c r="M337"/>
      <c r="N337"/>
      <c r="O337"/>
      <c r="P337"/>
      <c r="Q337"/>
      <c r="R337"/>
      <c r="S337" s="15"/>
    </row>
    <row r="338" spans="1:19">
      <c r="A338"/>
      <c r="B338" s="542">
        <v>279</v>
      </c>
      <c r="C338" s="831"/>
      <c r="D338" s="830"/>
      <c r="E338"/>
      <c r="F338"/>
      <c r="G338"/>
      <c r="H338"/>
      <c r="I338"/>
      <c r="J338"/>
      <c r="K338"/>
      <c r="L338"/>
      <c r="M338"/>
      <c r="N338"/>
      <c r="O338"/>
      <c r="P338"/>
      <c r="Q338"/>
      <c r="R338"/>
      <c r="S338" s="15"/>
    </row>
    <row r="339" spans="1:19">
      <c r="A339"/>
      <c r="B339" s="542">
        <v>280</v>
      </c>
      <c r="C339" s="831"/>
      <c r="D339" s="830"/>
      <c r="E339"/>
      <c r="F339"/>
      <c r="G339"/>
      <c r="H339"/>
      <c r="I339"/>
      <c r="J339"/>
      <c r="K339"/>
      <c r="L339"/>
      <c r="M339"/>
      <c r="N339"/>
      <c r="O339"/>
      <c r="P339"/>
      <c r="Q339"/>
      <c r="R339"/>
      <c r="S339" s="15"/>
    </row>
    <row r="340" spans="1:19">
      <c r="A340"/>
      <c r="B340" s="542">
        <v>281</v>
      </c>
      <c r="C340" s="831"/>
      <c r="D340" s="830"/>
      <c r="E340"/>
      <c r="F340"/>
      <c r="G340"/>
      <c r="H340"/>
      <c r="I340"/>
      <c r="J340"/>
      <c r="K340"/>
      <c r="L340"/>
      <c r="M340"/>
      <c r="N340"/>
      <c r="O340"/>
      <c r="P340"/>
      <c r="Q340"/>
      <c r="R340"/>
      <c r="S340" s="15"/>
    </row>
    <row r="341" spans="1:19">
      <c r="A341"/>
      <c r="B341" s="542">
        <v>282</v>
      </c>
      <c r="C341" s="831"/>
      <c r="D341" s="830"/>
      <c r="E341"/>
      <c r="F341"/>
      <c r="G341"/>
      <c r="H341"/>
      <c r="I341"/>
      <c r="J341"/>
      <c r="K341"/>
      <c r="L341"/>
      <c r="M341"/>
      <c r="N341"/>
      <c r="O341"/>
      <c r="P341"/>
      <c r="Q341"/>
      <c r="R341"/>
      <c r="S341" s="15"/>
    </row>
    <row r="342" spans="1:19">
      <c r="A342"/>
      <c r="B342" s="542">
        <v>283</v>
      </c>
      <c r="C342" s="831"/>
      <c r="D342" s="830"/>
      <c r="E342"/>
      <c r="F342"/>
      <c r="G342"/>
      <c r="H342"/>
      <c r="I342"/>
      <c r="J342"/>
      <c r="K342"/>
      <c r="L342"/>
      <c r="M342"/>
      <c r="N342"/>
      <c r="O342"/>
      <c r="P342"/>
      <c r="Q342"/>
      <c r="R342"/>
      <c r="S342" s="15"/>
    </row>
    <row r="343" spans="1:19">
      <c r="A343"/>
      <c r="B343" s="542">
        <v>284</v>
      </c>
      <c r="C343" s="831"/>
      <c r="D343" s="830"/>
      <c r="E343"/>
      <c r="F343"/>
      <c r="G343"/>
      <c r="H343"/>
      <c r="I343"/>
      <c r="J343"/>
      <c r="K343"/>
      <c r="L343"/>
      <c r="M343"/>
      <c r="N343"/>
      <c r="O343"/>
      <c r="P343"/>
      <c r="Q343"/>
      <c r="R343"/>
      <c r="S343" s="15"/>
    </row>
    <row r="344" spans="1:19">
      <c r="A344"/>
      <c r="B344" s="542">
        <v>285</v>
      </c>
      <c r="C344" s="831"/>
      <c r="D344" s="830"/>
      <c r="E344"/>
      <c r="F344"/>
      <c r="G344"/>
      <c r="H344"/>
      <c r="I344"/>
      <c r="J344"/>
      <c r="K344"/>
      <c r="L344"/>
      <c r="M344"/>
      <c r="N344"/>
      <c r="O344"/>
      <c r="P344"/>
      <c r="Q344"/>
      <c r="R344"/>
      <c r="S344" s="15"/>
    </row>
    <row r="345" spans="1:19">
      <c r="A345"/>
      <c r="B345" s="542">
        <v>286</v>
      </c>
      <c r="C345" s="831"/>
      <c r="D345" s="830"/>
      <c r="E345"/>
      <c r="F345"/>
      <c r="G345"/>
      <c r="H345"/>
      <c r="I345"/>
      <c r="J345"/>
      <c r="K345"/>
      <c r="L345"/>
      <c r="M345"/>
      <c r="N345"/>
      <c r="O345"/>
      <c r="P345"/>
      <c r="Q345"/>
      <c r="R345"/>
      <c r="S345" s="15"/>
    </row>
    <row r="346" spans="1:19">
      <c r="A346"/>
      <c r="B346" s="542">
        <v>287</v>
      </c>
      <c r="C346" s="831"/>
      <c r="D346" s="830"/>
      <c r="E346"/>
      <c r="F346"/>
      <c r="G346"/>
      <c r="H346"/>
      <c r="I346"/>
      <c r="J346"/>
      <c r="K346"/>
      <c r="L346"/>
      <c r="M346"/>
      <c r="N346"/>
      <c r="O346"/>
      <c r="P346"/>
      <c r="Q346"/>
      <c r="R346"/>
      <c r="S346" s="15"/>
    </row>
    <row r="347" spans="1:19">
      <c r="A347"/>
      <c r="B347" s="542">
        <v>288</v>
      </c>
      <c r="C347" s="831"/>
      <c r="D347" s="830"/>
      <c r="E347"/>
      <c r="F347"/>
      <c r="G347"/>
      <c r="H347"/>
      <c r="I347"/>
      <c r="J347"/>
      <c r="K347"/>
      <c r="L347"/>
      <c r="M347"/>
      <c r="N347"/>
      <c r="O347"/>
      <c r="P347"/>
      <c r="Q347"/>
      <c r="R347"/>
      <c r="S347" s="15"/>
    </row>
    <row r="348" spans="1:19">
      <c r="A348"/>
      <c r="B348" s="542">
        <v>289</v>
      </c>
      <c r="C348" s="831"/>
      <c r="D348" s="830"/>
      <c r="E348"/>
      <c r="F348"/>
      <c r="G348"/>
      <c r="H348"/>
      <c r="I348"/>
      <c r="J348"/>
      <c r="K348"/>
      <c r="L348"/>
      <c r="M348"/>
      <c r="N348"/>
      <c r="O348"/>
      <c r="P348"/>
      <c r="Q348"/>
      <c r="R348"/>
      <c r="S348" s="15"/>
    </row>
    <row r="349" spans="1:19">
      <c r="A349"/>
      <c r="B349" s="542">
        <v>290</v>
      </c>
      <c r="C349" s="831"/>
      <c r="D349" s="830"/>
      <c r="E349"/>
      <c r="F349"/>
      <c r="G349"/>
      <c r="H349"/>
      <c r="I349"/>
      <c r="J349"/>
      <c r="K349"/>
      <c r="L349"/>
      <c r="M349"/>
      <c r="N349"/>
      <c r="O349"/>
      <c r="P349"/>
      <c r="Q349"/>
      <c r="R349"/>
      <c r="S349" s="15"/>
    </row>
    <row r="350" spans="1:19">
      <c r="A350"/>
      <c r="B350" s="542">
        <v>291</v>
      </c>
      <c r="C350" s="831"/>
      <c r="D350" s="830"/>
      <c r="E350"/>
      <c r="F350"/>
      <c r="G350"/>
      <c r="H350"/>
      <c r="I350"/>
      <c r="J350"/>
      <c r="K350"/>
      <c r="L350"/>
      <c r="M350"/>
      <c r="N350"/>
      <c r="O350"/>
      <c r="P350"/>
      <c r="Q350"/>
      <c r="R350"/>
      <c r="S350" s="15"/>
    </row>
    <row r="351" spans="1:19">
      <c r="A351"/>
      <c r="B351" s="542">
        <v>292</v>
      </c>
      <c r="C351" s="831"/>
      <c r="D351" s="830"/>
      <c r="E351"/>
      <c r="F351"/>
      <c r="G351"/>
      <c r="H351"/>
      <c r="I351"/>
      <c r="J351"/>
      <c r="K351"/>
      <c r="L351"/>
      <c r="M351"/>
      <c r="N351"/>
      <c r="O351"/>
      <c r="P351"/>
      <c r="Q351"/>
      <c r="R351"/>
      <c r="S351" s="15"/>
    </row>
    <row r="352" spans="1:19">
      <c r="A352"/>
      <c r="B352" s="542">
        <v>293</v>
      </c>
      <c r="C352" s="831"/>
      <c r="D352" s="830"/>
      <c r="E352"/>
      <c r="F352"/>
      <c r="G352"/>
      <c r="H352"/>
      <c r="I352"/>
      <c r="J352"/>
      <c r="K352"/>
      <c r="L352"/>
      <c r="M352"/>
      <c r="N352"/>
      <c r="O352"/>
      <c r="P352"/>
      <c r="Q352"/>
      <c r="R352"/>
      <c r="S352" s="15"/>
    </row>
    <row r="353" spans="1:19">
      <c r="A353"/>
      <c r="B353" s="542">
        <v>294</v>
      </c>
      <c r="C353" s="831"/>
      <c r="D353" s="830"/>
      <c r="E353"/>
      <c r="F353"/>
      <c r="G353"/>
      <c r="H353"/>
      <c r="I353"/>
      <c r="J353"/>
      <c r="K353"/>
      <c r="L353"/>
      <c r="M353"/>
      <c r="N353"/>
      <c r="O353"/>
      <c r="P353"/>
      <c r="Q353"/>
      <c r="R353"/>
      <c r="S353" s="15"/>
    </row>
    <row r="354" spans="1:19">
      <c r="A354"/>
      <c r="B354" s="542">
        <v>295</v>
      </c>
      <c r="C354" s="831"/>
      <c r="D354" s="830"/>
      <c r="E354"/>
      <c r="F354"/>
      <c r="G354"/>
      <c r="H354"/>
      <c r="I354"/>
      <c r="J354"/>
      <c r="K354"/>
      <c r="L354"/>
      <c r="M354"/>
      <c r="N354"/>
      <c r="O354"/>
      <c r="P354"/>
      <c r="Q354"/>
      <c r="R354"/>
      <c r="S354" s="15"/>
    </row>
    <row r="355" spans="1:19">
      <c r="A355"/>
      <c r="B355" s="542">
        <v>296</v>
      </c>
      <c r="C355" s="831"/>
      <c r="D355" s="830"/>
      <c r="E355"/>
      <c r="F355"/>
      <c r="G355"/>
      <c r="H355"/>
      <c r="I355"/>
      <c r="J355"/>
      <c r="K355"/>
      <c r="L355"/>
      <c r="M355"/>
      <c r="N355"/>
      <c r="O355"/>
      <c r="P355"/>
      <c r="Q355"/>
      <c r="R355"/>
      <c r="S355" s="15"/>
    </row>
    <row r="356" spans="1:19">
      <c r="A356"/>
      <c r="B356" s="542">
        <v>297</v>
      </c>
      <c r="C356" s="831"/>
      <c r="D356" s="830"/>
      <c r="E356"/>
      <c r="F356"/>
      <c r="G356"/>
      <c r="H356"/>
      <c r="I356"/>
      <c r="J356"/>
      <c r="K356"/>
      <c r="L356"/>
      <c r="M356"/>
      <c r="N356"/>
      <c r="O356"/>
      <c r="P356"/>
      <c r="Q356"/>
      <c r="R356"/>
      <c r="S356" s="15"/>
    </row>
    <row r="357" spans="1:19">
      <c r="A357"/>
      <c r="B357" s="542">
        <v>298</v>
      </c>
      <c r="C357" s="831"/>
      <c r="D357" s="830"/>
      <c r="E357"/>
      <c r="F357"/>
      <c r="G357"/>
      <c r="H357"/>
      <c r="I357"/>
      <c r="J357"/>
      <c r="K357"/>
      <c r="L357"/>
      <c r="M357"/>
      <c r="N357"/>
      <c r="O357"/>
      <c r="P357"/>
      <c r="Q357"/>
      <c r="R357"/>
      <c r="S357" s="15"/>
    </row>
    <row r="358" spans="1:19">
      <c r="A358"/>
      <c r="B358" s="542">
        <v>299</v>
      </c>
      <c r="C358" s="831"/>
      <c r="D358" s="830"/>
      <c r="E358"/>
      <c r="F358"/>
      <c r="G358"/>
      <c r="H358"/>
      <c r="I358"/>
      <c r="J358"/>
      <c r="K358"/>
      <c r="L358"/>
      <c r="M358"/>
      <c r="N358"/>
      <c r="O358"/>
      <c r="P358"/>
      <c r="Q358"/>
      <c r="R358"/>
      <c r="S358" s="15"/>
    </row>
    <row r="359" spans="1:19">
      <c r="A359"/>
      <c r="B359" s="542">
        <v>300</v>
      </c>
      <c r="C359" s="831"/>
      <c r="D359" s="83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WhTSskWKqDp3bLGNpW8fklc7vosbkG2tep0+83JNIvBrOjhj5pcOg2IjO0cirIRCg6qVjp5u75oyO9Gmrr6XHg==" saltValue="JmyezfED9dihELvgJuy7uA==" spinCount="100000" sheet="1" scenarios="1" insertHyperlinks="0"/>
  <protectedRanges>
    <protectedRange sqref="A5:S18 A21:S44 D48 D51" name="Range1"/>
    <protectedRange sqref="E60:E359" name="Range1_1"/>
    <protectedRange sqref="C60:D359" name="Range1_2"/>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15" sqref="D15"/>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325</v>
      </c>
    </row>
    <row r="3" spans="2:9" ht="13.15">
      <c r="B3" s="41" t="s">
        <v>326</v>
      </c>
      <c r="C3" s="41" t="s">
        <v>327</v>
      </c>
      <c r="D3" s="41" t="s">
        <v>328</v>
      </c>
    </row>
    <row r="4" spans="2:9">
      <c r="B4" s="362" t="s">
        <v>329</v>
      </c>
      <c r="C4" s="35" t="s">
        <v>175</v>
      </c>
      <c r="D4" s="35" t="s">
        <v>175</v>
      </c>
    </row>
    <row r="5" spans="2:9">
      <c r="B5" s="362" t="s">
        <v>330</v>
      </c>
      <c r="C5" s="35" t="s">
        <v>214</v>
      </c>
      <c r="D5" s="589" t="s">
        <v>214</v>
      </c>
    </row>
    <row r="6" spans="2:9">
      <c r="B6" s="42" t="s">
        <v>331</v>
      </c>
      <c r="C6" s="36" t="str">
        <f>HLOOKUP(C4,MaterialData!$C$3:$O$4,2,FALSE)</f>
        <v>Steel</v>
      </c>
      <c r="D6" s="36" t="str">
        <f>HLOOKUP(D4,MaterialData!$C$3:$O$4,2,FALSE)</f>
        <v>Steel</v>
      </c>
    </row>
    <row r="7" spans="2:9">
      <c r="B7" s="42" t="s">
        <v>194</v>
      </c>
      <c r="C7" s="36">
        <f>INDEX(Innertable,MATCH($B7,MaterialData!$B$6:$B$11,0),MATCH(C$6,MaterialData!$C$4:$O$4,0))</f>
        <v>200000000000</v>
      </c>
      <c r="D7" s="36">
        <f>INDEX(Innertable,MATCH($B7,MaterialData!$B$6:$B$11,0),MATCH(D$6,MaterialData!$C$4:$O$4,0))</f>
        <v>200000000000</v>
      </c>
      <c r="I7" s="43"/>
    </row>
    <row r="8" spans="2:9">
      <c r="B8" s="42" t="s">
        <v>195</v>
      </c>
      <c r="C8" s="36">
        <f>INDEX(Innertable,MATCH($B8,MaterialData!$B$6:$B$11,0),MATCH(C$6,MaterialData!$C$4:$O$4,0))</f>
        <v>305000000</v>
      </c>
      <c r="D8" s="36">
        <f>INDEX(Innertable,MATCH($B8,MaterialData!$B$6:$B$11,0),MATCH(D$6,MaterialData!$C$4:$O$4,0))</f>
        <v>305000000</v>
      </c>
      <c r="I8" s="43"/>
    </row>
    <row r="9" spans="2:9">
      <c r="B9" s="42" t="s">
        <v>196</v>
      </c>
      <c r="C9" s="36">
        <f>INDEX(Innertable,MATCH($B9,MaterialData!$B$6:$B$11,0),MATCH(C$6,MaterialData!$C$4:$O$4,0))</f>
        <v>365000000</v>
      </c>
      <c r="D9" s="36">
        <f>INDEX(Innertable,MATCH($B9,MaterialData!$B$6:$B$11,0),MATCH(D$6,MaterialData!$C$4:$O$4,0))</f>
        <v>365000000</v>
      </c>
      <c r="I9" s="43"/>
    </row>
    <row r="10" spans="2:9">
      <c r="B10" s="42" t="s">
        <v>197</v>
      </c>
      <c r="C10" s="36">
        <f>INDEX(Innertable,MATCH($B10,MaterialData!$B$6:$B$11,0),MATCH(C$6,MaterialData!$C$4:$O$4,0))</f>
        <v>180000000</v>
      </c>
      <c r="D10" s="36">
        <f>INDEX(Innertable,MATCH($B10,MaterialData!$B$6:$B$11,0),MATCH(D$6,MaterialData!$C$4:$O$4,0))</f>
        <v>180000000</v>
      </c>
      <c r="I10" s="43"/>
    </row>
    <row r="11" spans="2:9">
      <c r="B11" s="42" t="s">
        <v>198</v>
      </c>
      <c r="C11" s="36">
        <f>INDEX(Innertable,MATCH($B11,MaterialData!$B$6:$B$11,0),MATCH(C$6,MaterialData!$C$4:$O$4,0))</f>
        <v>300000000</v>
      </c>
      <c r="D11" s="36">
        <f>INDEX(Innertable,MATCH($B11,MaterialData!$B$6:$B$11,0),MATCH(D$6,MaterialData!$C$4:$O$4,0))</f>
        <v>300000000</v>
      </c>
      <c r="I11" s="43"/>
    </row>
    <row r="12" spans="2:9">
      <c r="I12" s="43"/>
    </row>
    <row r="13" spans="2:9">
      <c r="B13" s="42" t="s">
        <v>332</v>
      </c>
      <c r="C13" s="35">
        <f>IF(AND(D13&gt;=25,D13&lt;25.4,D14&gt;=2.5),25,25.4)</f>
        <v>25.4</v>
      </c>
      <c r="D13" s="605">
        <v>30</v>
      </c>
      <c r="I13" s="43"/>
    </row>
    <row r="14" spans="2:9">
      <c r="B14" s="42" t="s">
        <v>333</v>
      </c>
      <c r="C14" s="35">
        <f>IF(AND(D13&gt;=25,D13&lt;25.4,D14&gt;=2.5),2.5,2.4)</f>
        <v>2.4</v>
      </c>
      <c r="D14" s="605">
        <v>2</v>
      </c>
      <c r="I14" s="43"/>
    </row>
    <row r="15" spans="2:9">
      <c r="I15" s="43"/>
    </row>
    <row r="16" spans="2:9" ht="13.15">
      <c r="B16" s="42"/>
      <c r="C16" s="41" t="s">
        <v>327</v>
      </c>
      <c r="D16" s="41" t="s">
        <v>328</v>
      </c>
      <c r="I16" s="43"/>
    </row>
    <row r="17" spans="2:13">
      <c r="B17" s="42" t="s">
        <v>334</v>
      </c>
      <c r="C17" s="35">
        <f>C13/1000</f>
        <v>2.5399999999999999E-2</v>
      </c>
      <c r="D17" s="35">
        <f>D13/1000</f>
        <v>0.03</v>
      </c>
      <c r="I17" s="43"/>
    </row>
    <row r="18" spans="2:13">
      <c r="B18" s="42" t="s">
        <v>335</v>
      </c>
      <c r="C18" s="35">
        <f>C14/1000</f>
        <v>2.3999999999999998E-3</v>
      </c>
      <c r="D18" s="35">
        <f>D14/1000</f>
        <v>2E-3</v>
      </c>
      <c r="I18" s="43"/>
      <c r="M18" s="44"/>
    </row>
    <row r="19" spans="2:13">
      <c r="B19" s="42" t="s">
        <v>336</v>
      </c>
      <c r="C19" s="35">
        <f>((C17)^4-((C17-2*C18))^4)*3.142/64</f>
        <v>1.1593489847999996E-8</v>
      </c>
      <c r="D19" s="35">
        <f>IF(D5="Round",((D17)^4-((D17-2*D18))^4)*3.142/64,IF(D5="Square",((D17)^4-((D17-2*D18))^4)/12,""))</f>
        <v>1.7331272000000002E-8</v>
      </c>
      <c r="I19" s="43"/>
      <c r="L19" s="43"/>
      <c r="M19" s="44"/>
    </row>
    <row r="20" spans="2:13">
      <c r="B20" s="42" t="s">
        <v>337</v>
      </c>
      <c r="C20" s="36">
        <f>C7*C19</f>
        <v>2318.6979695999994</v>
      </c>
      <c r="D20" s="36">
        <f>D7*D19</f>
        <v>3466.2544000000003</v>
      </c>
      <c r="E20" s="45">
        <f t="shared" ref="E20:E28" si="0">100*D20/C20</f>
        <v>149.49141481320081</v>
      </c>
    </row>
    <row r="21" spans="2:13">
      <c r="B21" s="42" t="s">
        <v>338</v>
      </c>
      <c r="C21" s="37">
        <f>(C13^2-(C13-2*C14)^2)*PI()/4</f>
        <v>173.41591447815662</v>
      </c>
      <c r="D21" s="37">
        <f>(D13^2-(D13-2*D14)^2)*PI()/4</f>
        <v>175.92918860102841</v>
      </c>
      <c r="E21" s="45">
        <f t="shared" si="0"/>
        <v>101.4492753623188</v>
      </c>
      <c r="L21" s="43"/>
    </row>
    <row r="22" spans="2:13">
      <c r="B22" s="42" t="s">
        <v>339</v>
      </c>
      <c r="C22" s="36">
        <f>C$21*C8/1000000</f>
        <v>52891.853915837768</v>
      </c>
      <c r="D22" s="36">
        <f t="shared" ref="C22:D24" si="1">D$21*D8/1000000</f>
        <v>53658.402523313671</v>
      </c>
      <c r="E22" s="45">
        <f t="shared" si="0"/>
        <v>101.44927536231882</v>
      </c>
    </row>
    <row r="23" spans="2:13">
      <c r="B23" s="42" t="s">
        <v>340</v>
      </c>
      <c r="C23" s="36">
        <f t="shared" si="1"/>
        <v>63296.808784527166</v>
      </c>
      <c r="D23" s="36">
        <f t="shared" si="1"/>
        <v>64214.153839375373</v>
      </c>
      <c r="E23" s="45">
        <f t="shared" si="0"/>
        <v>101.44927536231883</v>
      </c>
      <c r="L23" s="43"/>
    </row>
    <row r="24" spans="2:13">
      <c r="B24" s="42" t="s">
        <v>341</v>
      </c>
      <c r="C24" s="36">
        <f t="shared" si="1"/>
        <v>31214.864606068193</v>
      </c>
      <c r="D24" s="36">
        <f t="shared" si="1"/>
        <v>31667.253948185116</v>
      </c>
      <c r="E24" s="45">
        <f t="shared" si="0"/>
        <v>101.44927536231883</v>
      </c>
      <c r="L24" s="43"/>
    </row>
    <row r="25" spans="2:13">
      <c r="B25" s="42" t="s">
        <v>342</v>
      </c>
      <c r="C25" s="36">
        <f>C$21*C11/1000000</f>
        <v>52024.774343446981</v>
      </c>
      <c r="D25" s="36">
        <f>D$21*D11/1000000</f>
        <v>52778.756580308524</v>
      </c>
      <c r="E25" s="45">
        <f t="shared" si="0"/>
        <v>101.44927536231883</v>
      </c>
      <c r="L25" s="43"/>
    </row>
    <row r="26" spans="2:13">
      <c r="B26" s="42" t="s">
        <v>343</v>
      </c>
      <c r="C26" s="36">
        <f>4*C9*C19/(0.5*C17*1)</f>
        <v>1332.7948959118107</v>
      </c>
      <c r="D26" s="36">
        <f>4*D9*D19/(0.5*D17*1)</f>
        <v>1686.9104746666669</v>
      </c>
      <c r="E26" s="45">
        <f t="shared" si="0"/>
        <v>126.5693978751767</v>
      </c>
      <c r="G26" s="43"/>
    </row>
    <row r="27" spans="2:13">
      <c r="B27" s="42" t="s">
        <v>344</v>
      </c>
      <c r="C27" s="36">
        <f>C26*1^3/(48*C7*C19)</f>
        <v>1.1975065616797901E-2</v>
      </c>
      <c r="D27" s="36">
        <f>C26*1^3/(48*D7*D19)</f>
        <v>8.0105373487577985E-3</v>
      </c>
      <c r="E27" s="45">
        <f t="shared" si="0"/>
        <v>66.893473531544572</v>
      </c>
    </row>
    <row r="28" spans="2:13">
      <c r="B28" s="42" t="s">
        <v>345</v>
      </c>
      <c r="C28" s="36">
        <f>0.5*C26*(C26*1^3/(48*C7*C19))</f>
        <v>7.9801531661386313</v>
      </c>
      <c r="D28" s="36">
        <f>0.5*D26*(D26*1^3/(48*D7*D19))</f>
        <v>8.5516989340740768</v>
      </c>
      <c r="E28" s="45">
        <f t="shared" si="0"/>
        <v>107.16209020098295</v>
      </c>
    </row>
    <row r="30" spans="2:13">
      <c r="B30" s="145" t="s">
        <v>219</v>
      </c>
      <c r="D30" s="43"/>
    </row>
    <row r="31" spans="2:13">
      <c r="D31" s="43"/>
    </row>
  </sheetData>
  <sheetProtection algorithmName="SHA-512" hashValue="Bwaj2CQuvpdaeNQOiDQqB2aXoVWzKlHId3Su/cYVg1f0or0OpFDWsCc9R6ORFvwgdlExio/wmr//16k/ezv/Sg==" saltValue="73XB1uf1rEBYhtpReiHXow==" spinCount="100000" sheet="1" scenarios="1" insertHyperlinks="0"/>
  <protectedRanges>
    <protectedRange sqref="D13:D14" name="Bereich1"/>
  </protectedRanges>
  <phoneticPr fontId="2" type="noConversion"/>
  <conditionalFormatting sqref="D14">
    <cfRule type="cellIs" dxfId="405" priority="1" stopIfTrue="1" operator="lessThan">
      <formula>2</formula>
    </cfRule>
  </conditionalFormatting>
  <conditionalFormatting sqref="E20:E26 E28">
    <cfRule type="cellIs" dxfId="404" priority="2" stopIfTrue="1" operator="greaterThanOrEqual">
      <formula>100</formula>
    </cfRule>
    <cfRule type="cellIs" dxfId="403" priority="3" stopIfTrue="1" operator="lessThan">
      <formula>100</formula>
    </cfRule>
  </conditionalFormatting>
  <conditionalFormatting sqref="E27">
    <cfRule type="cellIs" dxfId="402" priority="4" stopIfTrue="1" operator="greaterThanOrEqual">
      <formula>100.01</formula>
    </cfRule>
    <cfRule type="cellIs" dxfId="401" priority="5" stopIfTrue="1" operator="lessThan">
      <formula>100.01</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58"/>
  <sheetViews>
    <sheetView showGridLines="0" workbookViewId="0">
      <selection activeCell="P18" sqref="P18"/>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12" ht="15">
      <c r="B1" s="1" t="s">
        <v>346</v>
      </c>
    </row>
    <row r="2" spans="2:12" ht="14.25">
      <c r="G2" s="835" t="s">
        <v>347</v>
      </c>
    </row>
    <row r="3" spans="2:12" ht="13.15">
      <c r="B3" s="41" t="s">
        <v>326</v>
      </c>
      <c r="C3" s="41" t="s">
        <v>327</v>
      </c>
      <c r="D3" s="41" t="s">
        <v>328</v>
      </c>
      <c r="G3" s="832"/>
      <c r="H3" s="701"/>
      <c r="I3" s="701"/>
      <c r="J3" s="701"/>
      <c r="K3" s="701"/>
      <c r="L3" s="833"/>
    </row>
    <row r="4" spans="2:12">
      <c r="B4" s="362" t="s">
        <v>329</v>
      </c>
      <c r="C4" s="35" t="s">
        <v>175</v>
      </c>
      <c r="D4" s="17" t="s">
        <v>175</v>
      </c>
      <c r="G4" s="725"/>
      <c r="H4" s="26"/>
      <c r="I4" s="26"/>
      <c r="J4" s="26"/>
      <c r="K4" s="26"/>
      <c r="L4" s="638"/>
    </row>
    <row r="5" spans="2:12">
      <c r="B5" s="362" t="s">
        <v>330</v>
      </c>
      <c r="C5" s="35" t="s">
        <v>214</v>
      </c>
      <c r="D5" s="605" t="s">
        <v>214</v>
      </c>
      <c r="G5" s="725"/>
      <c r="H5" s="26"/>
      <c r="I5" s="26"/>
      <c r="J5" s="26"/>
      <c r="K5" s="26"/>
      <c r="L5" s="638"/>
    </row>
    <row r="6" spans="2:12">
      <c r="B6" s="42" t="s">
        <v>331</v>
      </c>
      <c r="C6" s="36" t="str">
        <f>HLOOKUP(C4,MaterialData!$C$3:$O$4,2,FALSE)</f>
        <v>Steel</v>
      </c>
      <c r="D6" s="36" t="str">
        <f>HLOOKUP(D4,MaterialData!$C$3:$O$4,2,FALSE)</f>
        <v>Steel</v>
      </c>
      <c r="G6" s="725"/>
      <c r="H6" s="26"/>
      <c r="I6" s="26"/>
      <c r="J6" s="26"/>
      <c r="K6" s="26"/>
      <c r="L6" s="638"/>
    </row>
    <row r="7" spans="2:12">
      <c r="B7" s="42" t="s">
        <v>194</v>
      </c>
      <c r="C7" s="36">
        <f>INDEX(Innertable,MATCH($B7,MaterialData!$B$6:$B$11,0),MATCH(C$6,MaterialData!$C$4:$O$4,0))</f>
        <v>200000000000</v>
      </c>
      <c r="D7" s="36">
        <f>INDEX(Innertable,MATCH($B7,MaterialData!$B$6:$B$11,0),MATCH(D$6,MaterialData!$C$4:$O$4,0))</f>
        <v>200000000000</v>
      </c>
      <c r="G7" s="725"/>
      <c r="H7" s="26"/>
      <c r="I7" s="26"/>
      <c r="J7" s="26"/>
      <c r="K7" s="26"/>
      <c r="L7" s="638"/>
    </row>
    <row r="8" spans="2:12">
      <c r="B8" s="42" t="s">
        <v>195</v>
      </c>
      <c r="C8" s="36">
        <f>INDEX(Innertable,MATCH($B8,MaterialData!$B$6:$B$11,0),MATCH(C$6,MaterialData!$C$4:$O$4,0))</f>
        <v>305000000</v>
      </c>
      <c r="D8" s="36">
        <f>INDEX(Innertable,MATCH($B8,MaterialData!$B$6:$B$11,0),MATCH(D$6,MaterialData!$C$4:$O$4,0))</f>
        <v>305000000</v>
      </c>
      <c r="G8" s="725"/>
      <c r="H8" s="26"/>
      <c r="I8" s="26"/>
      <c r="J8" s="26"/>
      <c r="K8" s="26"/>
      <c r="L8" s="638"/>
    </row>
    <row r="9" spans="2:12">
      <c r="B9" s="42" t="s">
        <v>196</v>
      </c>
      <c r="C9" s="36">
        <f>INDEX(Innertable,MATCH($B9,MaterialData!$B$6:$B$11,0),MATCH(C$6,MaterialData!$C$4:$O$4,0))</f>
        <v>365000000</v>
      </c>
      <c r="D9" s="36">
        <f>INDEX(Innertable,MATCH($B9,MaterialData!$B$6:$B$11,0),MATCH(D$6,MaterialData!$C$4:$O$4,0))</f>
        <v>365000000</v>
      </c>
      <c r="G9" s="725"/>
      <c r="H9" s="26"/>
      <c r="I9" s="26"/>
      <c r="J9" s="26"/>
      <c r="K9" s="26"/>
      <c r="L9" s="638"/>
    </row>
    <row r="10" spans="2:12">
      <c r="B10" s="42" t="s">
        <v>197</v>
      </c>
      <c r="C10" s="36">
        <f>INDEX(Innertable,MATCH($B10,MaterialData!$B$6:$B$11,0),MATCH(C$6,MaterialData!$C$4:$O$4,0))</f>
        <v>180000000</v>
      </c>
      <c r="D10" s="36">
        <f>INDEX(Innertable,MATCH($B10,MaterialData!$B$6:$B$11,0),MATCH(D$6,MaterialData!$C$4:$O$4,0))</f>
        <v>180000000</v>
      </c>
      <c r="G10" s="725"/>
      <c r="H10" s="26"/>
      <c r="I10" s="26"/>
      <c r="J10" s="26"/>
      <c r="K10" s="26"/>
      <c r="L10" s="638"/>
    </row>
    <row r="11" spans="2:12">
      <c r="B11" s="42" t="s">
        <v>198</v>
      </c>
      <c r="C11" s="36">
        <f>INDEX(Innertable,MATCH($B11,MaterialData!$B$6:$B$11,0),MATCH(C$6,MaterialData!$C$4:$O$4,0))</f>
        <v>300000000</v>
      </c>
      <c r="D11" s="36">
        <f>INDEX(Innertable,MATCH($B11,MaterialData!$B$6:$B$11,0),MATCH(D$6,MaterialData!$C$4:$O$4,0))</f>
        <v>300000000</v>
      </c>
      <c r="G11" s="725"/>
      <c r="H11" s="26"/>
      <c r="I11" s="26"/>
      <c r="J11" s="26"/>
      <c r="K11" s="26"/>
      <c r="L11" s="638"/>
    </row>
    <row r="12" spans="2:12">
      <c r="G12" s="725"/>
      <c r="H12" s="26"/>
      <c r="I12" s="26"/>
      <c r="J12" s="26"/>
      <c r="K12" s="26"/>
      <c r="L12" s="638"/>
    </row>
    <row r="13" spans="2:12">
      <c r="B13" s="42" t="s">
        <v>332</v>
      </c>
      <c r="C13" s="35">
        <f>IF(AND(D13&gt;=25,D13&lt;25.4,D14&gt;=2.5),25,25.4)</f>
        <v>25.4</v>
      </c>
      <c r="D13" s="605">
        <v>30</v>
      </c>
      <c r="G13" s="725"/>
      <c r="H13" s="26"/>
      <c r="I13" s="26"/>
      <c r="J13" s="26"/>
      <c r="K13" s="26"/>
      <c r="L13" s="638"/>
    </row>
    <row r="14" spans="2:12">
      <c r="B14" s="42" t="s">
        <v>333</v>
      </c>
      <c r="C14" s="35">
        <f>IF(AND(D13&gt;=25,D13&lt;25.4,D14&gt;=2.5),2.5,2.4)</f>
        <v>2.4</v>
      </c>
      <c r="D14" s="605">
        <v>2</v>
      </c>
      <c r="G14" s="725"/>
      <c r="H14" s="26"/>
      <c r="I14" s="26"/>
      <c r="J14" s="26"/>
      <c r="K14" s="26"/>
      <c r="L14" s="638"/>
    </row>
    <row r="15" spans="2:12">
      <c r="G15" s="725"/>
      <c r="H15" s="26"/>
      <c r="I15" s="26"/>
      <c r="J15" s="26"/>
      <c r="K15" s="26"/>
      <c r="L15" s="638"/>
    </row>
    <row r="16" spans="2:12" ht="13.15">
      <c r="B16" s="42"/>
      <c r="C16" s="41" t="s">
        <v>327</v>
      </c>
      <c r="D16" s="41" t="s">
        <v>328</v>
      </c>
      <c r="G16" s="725"/>
      <c r="H16" s="26"/>
      <c r="I16" s="26"/>
      <c r="J16" s="26"/>
      <c r="K16" s="26"/>
      <c r="L16" s="638"/>
    </row>
    <row r="17" spans="2:14">
      <c r="B17" s="42" t="s">
        <v>334</v>
      </c>
      <c r="C17" s="35">
        <f>C13/1000</f>
        <v>2.5399999999999999E-2</v>
      </c>
      <c r="D17" s="35">
        <f>D13/1000</f>
        <v>0.03</v>
      </c>
      <c r="G17" s="725"/>
      <c r="H17" s="26"/>
      <c r="I17" s="26"/>
      <c r="J17" s="26"/>
      <c r="K17" s="26"/>
      <c r="L17" s="638"/>
    </row>
    <row r="18" spans="2:14">
      <c r="B18" s="42" t="s">
        <v>335</v>
      </c>
      <c r="C18" s="35">
        <f>C14/1000</f>
        <v>2.3999999999999998E-3</v>
      </c>
      <c r="D18" s="35">
        <f>D14/1000</f>
        <v>2E-3</v>
      </c>
      <c r="G18" s="725"/>
      <c r="H18" s="26"/>
      <c r="I18" s="26"/>
      <c r="J18" s="26"/>
      <c r="K18" s="26"/>
      <c r="L18" s="638"/>
      <c r="M18" s="44"/>
    </row>
    <row r="19" spans="2:14">
      <c r="B19" s="42" t="s">
        <v>336</v>
      </c>
      <c r="C19" s="35">
        <f>((C17)^4-((C17-2*C18))^4)*3.142/64</f>
        <v>1.1593489847999996E-8</v>
      </c>
      <c r="D19" s="35">
        <f>IF(D5="Round",((D17)^4-((D17-2*D18))^4)*3.142/64,IF(D5="Square",((D17)^4-((D17-2*D18))^4)/12,""))</f>
        <v>1.7331272000000002E-8</v>
      </c>
      <c r="G19" s="725"/>
      <c r="H19" s="26"/>
      <c r="I19" s="26"/>
      <c r="J19" s="26"/>
      <c r="K19" s="26"/>
      <c r="L19" s="638"/>
      <c r="M19" s="44"/>
    </row>
    <row r="20" spans="2:14">
      <c r="B20" s="42" t="s">
        <v>337</v>
      </c>
      <c r="C20" s="36">
        <f>C7*C19</f>
        <v>2318.6979695999994</v>
      </c>
      <c r="D20" s="36">
        <f>D7*D19</f>
        <v>3466.2544000000003</v>
      </c>
      <c r="E20" s="45">
        <f>100*$D$20/$C$20</f>
        <v>149.49141481320081</v>
      </c>
      <c r="G20" s="725"/>
      <c r="H20" s="26"/>
      <c r="I20" s="26"/>
      <c r="J20" s="26"/>
      <c r="K20" s="26"/>
      <c r="L20" s="638"/>
    </row>
    <row r="21" spans="2:14">
      <c r="B21" s="42" t="s">
        <v>338</v>
      </c>
      <c r="C21" s="37">
        <f>(C13^2-(C13-2*C14)^2)*PI()/4</f>
        <v>173.41591447815662</v>
      </c>
      <c r="D21" s="37">
        <f>IF(D5="Round",(D13^2-(D13-2*D14)^2)*PI()/4,IF(D5="Square",D13^2-(D13-2*D14)^2,""))</f>
        <v>175.92918860102841</v>
      </c>
      <c r="E21" s="45">
        <f>IF(D4="steel",100*$D$21/$C$21,"NA")</f>
        <v>101.4492753623188</v>
      </c>
      <c r="G21" s="725"/>
      <c r="H21" s="26"/>
      <c r="I21" s="26"/>
      <c r="J21" s="26"/>
      <c r="K21" s="26"/>
      <c r="L21" s="638"/>
    </row>
    <row r="22" spans="2:14">
      <c r="B22" s="42" t="s">
        <v>339</v>
      </c>
      <c r="C22" s="36">
        <f t="shared" ref="C22:D25" si="0">C$21*C8/1000000</f>
        <v>52891.853915837768</v>
      </c>
      <c r="D22" s="36">
        <f t="shared" si="0"/>
        <v>53658.402523313671</v>
      </c>
      <c r="E22" s="45">
        <f>100*$D$22/$C$22</f>
        <v>101.44927536231882</v>
      </c>
      <c r="G22" s="725"/>
      <c r="H22" s="26"/>
      <c r="I22" s="26"/>
      <c r="J22" s="26"/>
      <c r="K22" s="26"/>
      <c r="L22" s="638"/>
    </row>
    <row r="23" spans="2:14">
      <c r="B23" s="42" t="s">
        <v>340</v>
      </c>
      <c r="C23" s="36">
        <f t="shared" si="0"/>
        <v>63296.808784527166</v>
      </c>
      <c r="D23" s="36">
        <f t="shared" si="0"/>
        <v>64214.153839375373</v>
      </c>
      <c r="E23" s="45">
        <f>100*$D$23/$C$23</f>
        <v>101.44927536231883</v>
      </c>
      <c r="G23" s="725"/>
      <c r="H23" s="26"/>
      <c r="I23" s="26"/>
      <c r="J23" s="26"/>
      <c r="K23" s="26"/>
      <c r="L23" s="638"/>
    </row>
    <row r="24" spans="2:14">
      <c r="B24" s="42" t="s">
        <v>341</v>
      </c>
      <c r="C24" s="36">
        <f t="shared" si="0"/>
        <v>31214.864606068193</v>
      </c>
      <c r="D24" s="36">
        <f t="shared" si="0"/>
        <v>31667.253948185116</v>
      </c>
      <c r="E24" s="45">
        <f>100*$D$24/$C$24</f>
        <v>101.44927536231883</v>
      </c>
      <c r="G24" s="725"/>
      <c r="H24" s="26"/>
      <c r="I24" s="26"/>
      <c r="J24" s="26"/>
      <c r="K24" s="26"/>
      <c r="L24" s="638"/>
    </row>
    <row r="25" spans="2:14">
      <c r="B25" s="42" t="s">
        <v>342</v>
      </c>
      <c r="C25" s="36">
        <f t="shared" si="0"/>
        <v>52024.774343446981</v>
      </c>
      <c r="D25" s="36">
        <f t="shared" si="0"/>
        <v>52778.756580308524</v>
      </c>
      <c r="E25" s="45">
        <f>100*$D$25/$C$25</f>
        <v>101.44927536231883</v>
      </c>
      <c r="G25" s="725"/>
      <c r="H25" s="26"/>
      <c r="I25" s="26"/>
      <c r="J25" s="26"/>
      <c r="K25" s="26"/>
      <c r="L25" s="638"/>
    </row>
    <row r="26" spans="2:14">
      <c r="B26" s="42" t="s">
        <v>343</v>
      </c>
      <c r="C26" s="36">
        <f>4*C9*C19/(0.5*C17*1)</f>
        <v>1332.7948959118107</v>
      </c>
      <c r="D26" s="36">
        <f>4*D9*D19/(0.5*D17*1)</f>
        <v>1686.9104746666669</v>
      </c>
      <c r="E26" s="45">
        <f>100*$D$26/$C$26</f>
        <v>126.5693978751767</v>
      </c>
      <c r="G26" s="725"/>
      <c r="H26" s="26"/>
      <c r="I26" s="26"/>
      <c r="J26" s="26"/>
      <c r="K26" s="26"/>
      <c r="L26" s="638"/>
    </row>
    <row r="27" spans="2:14">
      <c r="B27" s="42" t="s">
        <v>344</v>
      </c>
      <c r="C27" s="36">
        <f>C26*1^3/(48*C7*C19)</f>
        <v>1.1975065616797901E-2</v>
      </c>
      <c r="D27" s="36">
        <f>C26*1^3/(48*D7*D19)</f>
        <v>8.0105373487577985E-3</v>
      </c>
      <c r="E27" s="45">
        <f>100*$D$27/$C$27</f>
        <v>66.893473531544572</v>
      </c>
      <c r="G27" s="725"/>
      <c r="H27" s="26"/>
      <c r="I27" s="26"/>
      <c r="J27" s="26"/>
      <c r="K27" s="26"/>
      <c r="L27" s="638"/>
    </row>
    <row r="28" spans="2:14">
      <c r="B28" s="42" t="s">
        <v>345</v>
      </c>
      <c r="C28" s="36">
        <f>0.5*C26*(C26*1^3/(48*C7*C19))</f>
        <v>7.9801531661386313</v>
      </c>
      <c r="D28" s="36">
        <f>0.5*D26*(D26*1^3/(48*D7*D19))</f>
        <v>8.5516989340740768</v>
      </c>
      <c r="E28" s="45">
        <f>100*$D$28/$C$28</f>
        <v>107.16209020098295</v>
      </c>
      <c r="G28" s="741"/>
      <c r="H28" s="742"/>
      <c r="I28" s="742"/>
      <c r="J28" s="742"/>
      <c r="K28" s="742"/>
      <c r="L28" s="743"/>
    </row>
    <row r="29" spans="2:14">
      <c r="E29" s="46"/>
      <c r="F29" s="46"/>
      <c r="G29" s="46"/>
      <c r="H29" s="46"/>
      <c r="I29" s="46"/>
      <c r="J29" s="46"/>
      <c r="K29" s="46"/>
      <c r="L29" s="46"/>
      <c r="M29" s="46"/>
      <c r="N29" s="46"/>
    </row>
    <row r="30" spans="2:14">
      <c r="B30" s="145" t="s">
        <v>219</v>
      </c>
      <c r="C30" s="43"/>
    </row>
    <row r="32" spans="2:14" ht="13.15">
      <c r="B32" s="3" t="s">
        <v>348</v>
      </c>
      <c r="E32" s="43"/>
    </row>
    <row r="33" spans="2:12">
      <c r="B33" s="832"/>
      <c r="C33" s="701"/>
      <c r="D33" s="701"/>
      <c r="E33" s="701"/>
      <c r="F33" s="701"/>
      <c r="G33" s="701"/>
      <c r="H33" s="701"/>
      <c r="I33" s="701"/>
      <c r="J33" s="701"/>
      <c r="K33" s="701"/>
      <c r="L33" s="833"/>
    </row>
    <row r="34" spans="2:12">
      <c r="B34" s="834"/>
      <c r="C34" s="26"/>
      <c r="D34" s="26"/>
      <c r="E34" s="26"/>
      <c r="F34" s="26"/>
      <c r="G34" s="26"/>
      <c r="H34" s="26"/>
      <c r="I34" s="26"/>
      <c r="J34" s="26"/>
      <c r="K34" s="26"/>
      <c r="L34" s="638"/>
    </row>
    <row r="35" spans="2:12">
      <c r="B35" s="725"/>
      <c r="C35" s="26"/>
      <c r="D35" s="26"/>
      <c r="E35" s="26"/>
      <c r="F35" s="26"/>
      <c r="G35" s="26"/>
      <c r="H35" s="26"/>
      <c r="I35" s="26"/>
      <c r="J35" s="26"/>
      <c r="K35" s="26"/>
      <c r="L35" s="638"/>
    </row>
    <row r="36" spans="2:12">
      <c r="B36" s="725"/>
      <c r="C36" s="26"/>
      <c r="D36" s="26"/>
      <c r="E36" s="26"/>
      <c r="F36" s="26"/>
      <c r="G36" s="26"/>
      <c r="H36" s="26"/>
      <c r="I36" s="26"/>
      <c r="J36" s="26"/>
      <c r="K36" s="26"/>
      <c r="L36" s="638"/>
    </row>
    <row r="37" spans="2:12">
      <c r="B37" s="725"/>
      <c r="C37" s="26"/>
      <c r="D37" s="26"/>
      <c r="E37" s="26"/>
      <c r="F37" s="26"/>
      <c r="G37" s="26"/>
      <c r="H37" s="26"/>
      <c r="I37" s="26"/>
      <c r="J37" s="26"/>
      <c r="K37" s="26"/>
      <c r="L37" s="638"/>
    </row>
    <row r="38" spans="2:12">
      <c r="B38" s="725"/>
      <c r="C38" s="26"/>
      <c r="D38" s="26"/>
      <c r="E38" s="26"/>
      <c r="F38" s="26"/>
      <c r="G38" s="26"/>
      <c r="H38" s="26"/>
      <c r="I38" s="26"/>
      <c r="J38" s="26"/>
      <c r="K38" s="26"/>
      <c r="L38" s="638"/>
    </row>
    <row r="39" spans="2:12">
      <c r="B39" s="725"/>
      <c r="C39" s="26"/>
      <c r="D39" s="26"/>
      <c r="E39" s="26"/>
      <c r="F39" s="26"/>
      <c r="G39" s="26"/>
      <c r="H39" s="26"/>
      <c r="I39" s="26"/>
      <c r="J39" s="26"/>
      <c r="K39" s="26"/>
      <c r="L39" s="638"/>
    </row>
    <row r="40" spans="2:12">
      <c r="B40" s="725"/>
      <c r="C40" s="26"/>
      <c r="D40" s="26"/>
      <c r="E40" s="26"/>
      <c r="F40" s="26"/>
      <c r="G40" s="26"/>
      <c r="H40" s="26"/>
      <c r="I40" s="26"/>
      <c r="J40" s="26"/>
      <c r="K40" s="26"/>
      <c r="L40" s="638"/>
    </row>
    <row r="41" spans="2:12">
      <c r="B41" s="725"/>
      <c r="C41" s="26"/>
      <c r="D41" s="26"/>
      <c r="E41" s="26"/>
      <c r="F41" s="26"/>
      <c r="G41" s="26"/>
      <c r="H41" s="26"/>
      <c r="I41" s="26"/>
      <c r="J41" s="26"/>
      <c r="K41" s="26"/>
      <c r="L41" s="638"/>
    </row>
    <row r="42" spans="2:12">
      <c r="B42" s="725"/>
      <c r="C42" s="26"/>
      <c r="D42" s="26"/>
      <c r="E42" s="26"/>
      <c r="F42" s="26"/>
      <c r="G42" s="26"/>
      <c r="H42" s="26"/>
      <c r="I42" s="26"/>
      <c r="J42" s="26"/>
      <c r="K42" s="26"/>
      <c r="L42" s="638"/>
    </row>
    <row r="43" spans="2:12">
      <c r="B43" s="725"/>
      <c r="C43" s="26"/>
      <c r="D43" s="26"/>
      <c r="E43" s="26"/>
      <c r="F43" s="26"/>
      <c r="G43" s="26"/>
      <c r="H43" s="26"/>
      <c r="I43" s="26"/>
      <c r="J43" s="26"/>
      <c r="K43" s="26"/>
      <c r="L43" s="638"/>
    </row>
    <row r="44" spans="2:12">
      <c r="B44" s="725"/>
      <c r="C44" s="26"/>
      <c r="D44" s="26"/>
      <c r="E44" s="26"/>
      <c r="F44" s="26"/>
      <c r="G44" s="26"/>
      <c r="H44" s="26"/>
      <c r="I44" s="26"/>
      <c r="J44" s="26"/>
      <c r="K44" s="26"/>
      <c r="L44" s="638"/>
    </row>
    <row r="45" spans="2:12">
      <c r="B45" s="725"/>
      <c r="C45" s="26"/>
      <c r="D45" s="26"/>
      <c r="E45" s="26"/>
      <c r="F45" s="26"/>
      <c r="G45" s="26"/>
      <c r="H45" s="26"/>
      <c r="I45" s="26"/>
      <c r="J45" s="26"/>
      <c r="K45" s="26"/>
      <c r="L45" s="638"/>
    </row>
    <row r="46" spans="2:12">
      <c r="B46" s="725"/>
      <c r="C46" s="26"/>
      <c r="D46" s="26"/>
      <c r="E46" s="26"/>
      <c r="F46" s="26"/>
      <c r="G46" s="26"/>
      <c r="H46" s="26"/>
      <c r="I46" s="26"/>
      <c r="J46" s="26"/>
      <c r="K46" s="26"/>
      <c r="L46" s="638"/>
    </row>
    <row r="47" spans="2:12">
      <c r="B47" s="725"/>
      <c r="C47" s="26"/>
      <c r="D47" s="26"/>
      <c r="E47" s="26"/>
      <c r="F47" s="26"/>
      <c r="G47" s="26"/>
      <c r="H47" s="26"/>
      <c r="I47" s="26"/>
      <c r="J47" s="26"/>
      <c r="K47" s="26"/>
      <c r="L47" s="638"/>
    </row>
    <row r="48" spans="2:12">
      <c r="B48" s="725"/>
      <c r="C48" s="26"/>
      <c r="D48" s="26"/>
      <c r="E48" s="26"/>
      <c r="F48" s="26"/>
      <c r="G48" s="26"/>
      <c r="H48" s="26"/>
      <c r="I48" s="26"/>
      <c r="J48" s="26"/>
      <c r="K48" s="26"/>
      <c r="L48" s="638"/>
    </row>
    <row r="49" spans="2:12">
      <c r="B49" s="725"/>
      <c r="C49" s="26"/>
      <c r="D49" s="26"/>
      <c r="E49" s="26"/>
      <c r="F49" s="26"/>
      <c r="G49" s="26"/>
      <c r="H49" s="26"/>
      <c r="I49" s="26"/>
      <c r="J49" s="26"/>
      <c r="K49" s="26"/>
      <c r="L49" s="638"/>
    </row>
    <row r="50" spans="2:12">
      <c r="B50" s="725"/>
      <c r="C50" s="26"/>
      <c r="D50" s="26"/>
      <c r="E50" s="26"/>
      <c r="F50" s="26"/>
      <c r="G50" s="26"/>
      <c r="H50" s="26"/>
      <c r="I50" s="26"/>
      <c r="J50" s="26"/>
      <c r="K50" s="26"/>
      <c r="L50" s="638"/>
    </row>
    <row r="51" spans="2:12">
      <c r="B51" s="725"/>
      <c r="C51" s="26"/>
      <c r="D51" s="26"/>
      <c r="E51" s="26"/>
      <c r="F51" s="26"/>
      <c r="G51" s="26"/>
      <c r="H51" s="26"/>
      <c r="I51" s="26"/>
      <c r="J51" s="26"/>
      <c r="K51" s="26"/>
      <c r="L51" s="638"/>
    </row>
    <row r="52" spans="2:12">
      <c r="B52" s="725"/>
      <c r="C52" s="26"/>
      <c r="D52" s="26"/>
      <c r="E52" s="26"/>
      <c r="F52" s="26"/>
      <c r="G52" s="26"/>
      <c r="H52" s="26"/>
      <c r="I52" s="26"/>
      <c r="J52" s="26"/>
      <c r="K52" s="26"/>
      <c r="L52" s="638"/>
    </row>
    <row r="53" spans="2:12">
      <c r="B53" s="725"/>
      <c r="C53" s="26"/>
      <c r="D53" s="26"/>
      <c r="E53" s="26"/>
      <c r="F53" s="26"/>
      <c r="G53" s="26"/>
      <c r="H53" s="26"/>
      <c r="I53" s="26"/>
      <c r="J53" s="26"/>
      <c r="K53" s="26"/>
      <c r="L53" s="638"/>
    </row>
    <row r="54" spans="2:12">
      <c r="B54" s="725"/>
      <c r="C54" s="26"/>
      <c r="D54" s="26"/>
      <c r="E54" s="26"/>
      <c r="F54" s="26"/>
      <c r="G54" s="26"/>
      <c r="H54" s="26"/>
      <c r="I54" s="26"/>
      <c r="J54" s="26"/>
      <c r="K54" s="26"/>
      <c r="L54" s="638"/>
    </row>
    <row r="55" spans="2:12">
      <c r="B55" s="725"/>
      <c r="C55" s="26"/>
      <c r="D55" s="26"/>
      <c r="E55" s="26"/>
      <c r="F55" s="26"/>
      <c r="G55" s="26"/>
      <c r="H55" s="26"/>
      <c r="I55" s="26"/>
      <c r="J55" s="26"/>
      <c r="K55" s="26"/>
      <c r="L55" s="638"/>
    </row>
    <row r="56" spans="2:12">
      <c r="B56" s="725"/>
      <c r="C56" s="26"/>
      <c r="D56" s="26"/>
      <c r="E56" s="26"/>
      <c r="F56" s="26"/>
      <c r="G56" s="26"/>
      <c r="H56" s="26"/>
      <c r="I56" s="26"/>
      <c r="J56" s="26"/>
      <c r="K56" s="26"/>
      <c r="L56" s="638"/>
    </row>
    <row r="57" spans="2:12">
      <c r="B57" s="725"/>
      <c r="C57" s="26"/>
      <c r="D57" s="26"/>
      <c r="E57" s="26"/>
      <c r="F57" s="26"/>
      <c r="G57" s="26"/>
      <c r="H57" s="26"/>
      <c r="I57" s="26"/>
      <c r="J57" s="26"/>
      <c r="K57" s="26"/>
      <c r="L57" s="638"/>
    </row>
    <row r="58" spans="2:12">
      <c r="B58" s="741"/>
      <c r="C58" s="742"/>
      <c r="D58" s="742"/>
      <c r="E58" s="742"/>
      <c r="F58" s="742"/>
      <c r="G58" s="742"/>
      <c r="H58" s="742"/>
      <c r="I58" s="742"/>
      <c r="J58" s="742"/>
      <c r="K58" s="742"/>
      <c r="L58" s="743"/>
    </row>
  </sheetData>
  <sheetProtection algorithmName="SHA-512" hashValue="j8BmRRBucwA0QYSAtIrHFHokGZSIlStl964kt2TpWiz8FL0zHpLFsy6GMRoVzytjz7fZsro9FMgrYe7SHpqONw==" saltValue="R3yynkJhEqeJ5uShedBBRA==" spinCount="100000" sheet="1" scenarios="1" insertHyperlinks="0"/>
  <protectedRanges>
    <protectedRange sqref="D4:D5 D13:D14" name="Bereich1"/>
    <protectedRange sqref="B33:L58 G3:L28" name="Bereich1_1"/>
    <protectedRange sqref="G3:L28" name="Bereich3"/>
    <protectedRange sqref="B33:L58" name="Bereich4"/>
  </protectedRanges>
  <phoneticPr fontId="2" type="noConversion"/>
  <conditionalFormatting sqref="D14">
    <cfRule type="cellIs" dxfId="400" priority="1" stopIfTrue="1" operator="lessThan">
      <formula>2</formula>
    </cfRule>
    <cfRule type="cellIs" dxfId="399" priority="2" stopIfTrue="1" operator="lessThan">
      <formula>1.2</formula>
    </cfRule>
  </conditionalFormatting>
  <conditionalFormatting sqref="E20:E26 E28">
    <cfRule type="cellIs" dxfId="398" priority="3" stopIfTrue="1" operator="greaterThanOrEqual">
      <formula>100</formula>
    </cfRule>
    <cfRule type="cellIs" dxfId="397" priority="4" stopIfTrue="1" operator="lessThan">
      <formula>100</formula>
    </cfRule>
  </conditionalFormatting>
  <conditionalFormatting sqref="E27">
    <cfRule type="cellIs" dxfId="396" priority="5" stopIfTrue="1" operator="greaterThanOrEqual">
      <formula>100.01</formula>
    </cfRule>
    <cfRule type="cellIs" dxfId="395" priority="6" stopIfTrue="1" operator="lessThan">
      <formula>100.01</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topLeftCell="A6" workbookViewId="0">
      <selection activeCell="D15" sqref="D15"/>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349</v>
      </c>
    </row>
    <row r="3" spans="2:9" ht="13.15">
      <c r="B3" s="41" t="s">
        <v>326</v>
      </c>
      <c r="C3" s="41" t="s">
        <v>327</v>
      </c>
      <c r="D3" s="41" t="s">
        <v>328</v>
      </c>
    </row>
    <row r="4" spans="2:9">
      <c r="B4" s="362" t="s">
        <v>329</v>
      </c>
      <c r="C4" s="35" t="s">
        <v>175</v>
      </c>
      <c r="D4" s="35" t="s">
        <v>175</v>
      </c>
    </row>
    <row r="5" spans="2:9">
      <c r="B5" s="362" t="s">
        <v>330</v>
      </c>
      <c r="C5" s="589" t="s">
        <v>214</v>
      </c>
      <c r="D5" s="17" t="s">
        <v>214</v>
      </c>
    </row>
    <row r="6" spans="2:9">
      <c r="B6" s="42" t="s">
        <v>331</v>
      </c>
      <c r="C6" s="36" t="str">
        <f>HLOOKUP(C4,MaterialData!$C$3:$O$4,2,FALSE)</f>
        <v>Steel</v>
      </c>
      <c r="D6" s="36" t="str">
        <f>HLOOKUP(D4,MaterialData!$C$3:$O$4,2,FALSE)</f>
        <v>Steel</v>
      </c>
    </row>
    <row r="7" spans="2:9">
      <c r="B7" s="42" t="s">
        <v>194</v>
      </c>
      <c r="C7" s="36">
        <f>INDEX(Innertable,MATCH($B7,MaterialData!$B$6:$B$11,0),MATCH(C$6,MaterialData!$C$4:$O$4,0))</f>
        <v>200000000000</v>
      </c>
      <c r="D7" s="36">
        <f>INDEX(Innertable,MATCH($B7,MaterialData!$B$6:$B$11,0),MATCH(D$6,MaterialData!$C$4:$O$4,0))</f>
        <v>200000000000</v>
      </c>
      <c r="I7" s="43"/>
    </row>
    <row r="8" spans="2:9">
      <c r="B8" s="42" t="s">
        <v>195</v>
      </c>
      <c r="C8" s="36">
        <f>INDEX(Innertable,MATCH($B8,MaterialData!$B$6:$B$11,0),MATCH(C$6,MaterialData!$C$4:$O$4,0))</f>
        <v>305000000</v>
      </c>
      <c r="D8" s="36">
        <f>INDEX(Innertable,MATCH($B8,MaterialData!$B$6:$B$11,0),MATCH(D$6,MaterialData!$C$4:$O$4,0))</f>
        <v>305000000</v>
      </c>
      <c r="I8" s="43"/>
    </row>
    <row r="9" spans="2:9">
      <c r="B9" s="42" t="s">
        <v>196</v>
      </c>
      <c r="C9" s="36">
        <f>INDEX(Innertable,MATCH($B9,MaterialData!$B$6:$B$11,0),MATCH(C$6,MaterialData!$C$4:$O$4,0))</f>
        <v>365000000</v>
      </c>
      <c r="D9" s="36">
        <f>INDEX(Innertable,MATCH($B9,MaterialData!$B$6:$B$11,0),MATCH(D$6,MaterialData!$C$4:$O$4,0))</f>
        <v>365000000</v>
      </c>
      <c r="I9" s="43"/>
    </row>
    <row r="10" spans="2:9">
      <c r="B10" s="42" t="s">
        <v>197</v>
      </c>
      <c r="C10" s="36">
        <f>INDEX(Innertable,MATCH($B10,MaterialData!$B$6:$B$11,0),MATCH(C$6,MaterialData!$C$4:$O$4,0))</f>
        <v>180000000</v>
      </c>
      <c r="D10" s="36">
        <f>INDEX(Innertable,MATCH($B10,MaterialData!$B$6:$B$11,0),MATCH(D$6,MaterialData!$C$4:$O$4,0))</f>
        <v>180000000</v>
      </c>
      <c r="I10" s="43"/>
    </row>
    <row r="11" spans="2:9">
      <c r="B11" s="42" t="s">
        <v>198</v>
      </c>
      <c r="C11" s="36">
        <f>INDEX(Innertable,MATCH($B11,MaterialData!$B$6:$B$11,0),MATCH(C$6,MaterialData!$C$4:$O$4,0))</f>
        <v>300000000</v>
      </c>
      <c r="D11" s="36">
        <f>INDEX(Innertable,MATCH($B11,MaterialData!$B$6:$B$11,0),MATCH(D$6,MaterialData!$C$4:$O$4,0))</f>
        <v>300000000</v>
      </c>
      <c r="I11" s="43"/>
    </row>
    <row r="12" spans="2:9">
      <c r="I12" s="43"/>
    </row>
    <row r="13" spans="2:9">
      <c r="B13" s="42" t="s">
        <v>332</v>
      </c>
      <c r="C13" s="606">
        <v>25.4</v>
      </c>
      <c r="D13" s="607">
        <v>28</v>
      </c>
      <c r="I13" s="43"/>
    </row>
    <row r="14" spans="2:9">
      <c r="B14" s="42" t="s">
        <v>333</v>
      </c>
      <c r="C14" s="35">
        <v>1.6</v>
      </c>
      <c r="D14" s="637">
        <v>1.5</v>
      </c>
      <c r="I14" s="43"/>
    </row>
    <row r="15" spans="2:9">
      <c r="I15" s="43"/>
    </row>
    <row r="16" spans="2:9" ht="13.15">
      <c r="B16" s="42"/>
      <c r="C16" s="41" t="s">
        <v>327</v>
      </c>
      <c r="D16" s="41" t="s">
        <v>328</v>
      </c>
      <c r="I16" s="43"/>
    </row>
    <row r="17" spans="2:13">
      <c r="B17" s="42" t="s">
        <v>334</v>
      </c>
      <c r="C17" s="35">
        <f>C13/1000</f>
        <v>2.5399999999999999E-2</v>
      </c>
      <c r="D17" s="35">
        <f>D13/1000</f>
        <v>2.8000000000000001E-2</v>
      </c>
      <c r="I17" s="43"/>
    </row>
    <row r="18" spans="2:13">
      <c r="B18" s="42" t="s">
        <v>335</v>
      </c>
      <c r="C18" s="35">
        <f>C14/1000</f>
        <v>1.6000000000000001E-3</v>
      </c>
      <c r="D18" s="35">
        <f>D14/1000</f>
        <v>1.5E-3</v>
      </c>
      <c r="I18" s="43"/>
      <c r="M18" s="44"/>
    </row>
    <row r="19" spans="2:13">
      <c r="B19" s="42" t="s">
        <v>336</v>
      </c>
      <c r="C19" s="36">
        <f>IF(C5="Round",((C17)^4-((C17-2*C18))^4)*3.142/64,IF(C5="Square",((C17)^4-((C17-2*C18))^4)/12,""))</f>
        <v>8.5099184800000022E-9</v>
      </c>
      <c r="D19" s="36">
        <f>IF(D5="Round",((D17)^4-((D17-2*D18))^4)*3.142/64,IF(D5="Square",((D17)^4-((D17-2*D18))^4)/12,""))</f>
        <v>1.0998521906249999E-8</v>
      </c>
      <c r="I19" s="43"/>
      <c r="L19" s="43"/>
      <c r="M19" s="44"/>
    </row>
    <row r="20" spans="2:13">
      <c r="B20" s="42" t="s">
        <v>337</v>
      </c>
      <c r="C20" s="36">
        <f>C7*C19</f>
        <v>1701.9836960000005</v>
      </c>
      <c r="D20" s="36">
        <f>D7*D19</f>
        <v>2199.7043812499996</v>
      </c>
      <c r="E20" s="45">
        <f t="shared" ref="E20:E28" si="0">100*D20/C20</f>
        <v>129.24356363810895</v>
      </c>
    </row>
    <row r="21" spans="2:13">
      <c r="B21" s="42" t="s">
        <v>338</v>
      </c>
      <c r="C21" s="37">
        <f>IF(C5="Round",(C13^2-(C13-2*C14)^2)*PI()/4,IF(C5="Square",C13^2-(C13-2*C14)^2,""))</f>
        <v>119.63184824869931</v>
      </c>
      <c r="D21" s="37">
        <f>IF(D5="Round",(D13^2-(D13-2*D14)^2)*PI()/4,IF(D5="Square",D13^2-(D13-2*D14)^2,""))</f>
        <v>124.87830798019428</v>
      </c>
      <c r="E21" s="45">
        <f t="shared" si="0"/>
        <v>104.38550420168067</v>
      </c>
      <c r="L21" s="43"/>
    </row>
    <row r="22" spans="2:13">
      <c r="B22" s="42" t="s">
        <v>339</v>
      </c>
      <c r="C22" s="36">
        <f t="shared" ref="C22:D24" si="1">C$21*C8/1000000</f>
        <v>36487.713715853293</v>
      </c>
      <c r="D22" s="36">
        <f t="shared" si="1"/>
        <v>38087.883933959252</v>
      </c>
      <c r="E22" s="45">
        <f t="shared" si="0"/>
        <v>104.38550420168067</v>
      </c>
    </row>
    <row r="23" spans="2:13">
      <c r="B23" s="42" t="s">
        <v>340</v>
      </c>
      <c r="C23" s="36">
        <f t="shared" si="1"/>
        <v>43665.624610775245</v>
      </c>
      <c r="D23" s="36">
        <f t="shared" si="1"/>
        <v>45580.582412770913</v>
      </c>
      <c r="E23" s="45">
        <f t="shared" si="0"/>
        <v>104.38550420168069</v>
      </c>
      <c r="L23" s="43"/>
    </row>
    <row r="24" spans="2:13">
      <c r="B24" s="42" t="s">
        <v>341</v>
      </c>
      <c r="C24" s="36">
        <f t="shared" si="1"/>
        <v>21533.732684765877</v>
      </c>
      <c r="D24" s="36">
        <f t="shared" si="1"/>
        <v>22478.095436434971</v>
      </c>
      <c r="E24" s="45">
        <f t="shared" si="0"/>
        <v>104.38550420168067</v>
      </c>
      <c r="L24" s="43"/>
    </row>
    <row r="25" spans="2:13">
      <c r="B25" s="42" t="s">
        <v>342</v>
      </c>
      <c r="C25" s="36">
        <f>C$21*C11/1000000</f>
        <v>35889.554474609795</v>
      </c>
      <c r="D25" s="36">
        <f>D$21*D11/1000000</f>
        <v>37463.492394058281</v>
      </c>
      <c r="E25" s="45">
        <f t="shared" si="0"/>
        <v>104.38550420168067</v>
      </c>
      <c r="L25" s="43"/>
    </row>
    <row r="26" spans="2:13">
      <c r="B26" s="42" t="s">
        <v>343</v>
      </c>
      <c r="C26" s="36">
        <f>4*C9*C19/(0.5*C17*1)</f>
        <v>978.30558903937037</v>
      </c>
      <c r="D26" s="36">
        <f>4*D9*D19/(0.5*D17*1)</f>
        <v>1146.988713080357</v>
      </c>
      <c r="E26" s="45">
        <f t="shared" si="0"/>
        <v>117.24237558599884</v>
      </c>
    </row>
    <row r="27" spans="2:13">
      <c r="B27" s="42" t="s">
        <v>344</v>
      </c>
      <c r="C27" s="36">
        <f>C26*1^3/(48*C7*C19)</f>
        <v>1.1975065616797899E-2</v>
      </c>
      <c r="D27" s="36">
        <f>C26*1^3/(48*D7*D19)</f>
        <v>9.2655024975393917E-3</v>
      </c>
      <c r="E27" s="45">
        <f t="shared" si="0"/>
        <v>77.373292089041286</v>
      </c>
    </row>
    <row r="28" spans="2:13">
      <c r="B28" s="42" t="s">
        <v>345</v>
      </c>
      <c r="C28" s="36">
        <f>0.5*C26*(C26*1^3/(48*C7*C19))</f>
        <v>5.8576368110132897</v>
      </c>
      <c r="D28" s="36">
        <f>0.5*D26*(D26*1^3/(48*D7*D19))</f>
        <v>6.2299238136061055</v>
      </c>
      <c r="E28" s="45">
        <f t="shared" si="0"/>
        <v>106.35558356729896</v>
      </c>
    </row>
    <row r="30" spans="2:13">
      <c r="B30" s="162" t="s">
        <v>219</v>
      </c>
    </row>
  </sheetData>
  <sheetProtection algorithmName="SHA-512" hashValue="RuQjHrLuwDXNIxi0Ob0yn4zqhBsVbAwNxFkFen7rlZGVouqEMw4G7zu0JYeNTeqHOgCD5+53nWkpSyhSaJB7sA==" saltValue="2r/mtSCLXoUnGdbONv0S4Q==" spinCount="100000" sheet="1" scenarios="1" insertHyperlinks="0"/>
  <protectedRanges>
    <protectedRange sqref="D5 D13:D14" name="Bereich1"/>
  </protectedRanges>
  <phoneticPr fontId="2" type="noConversion"/>
  <conditionalFormatting sqref="D14">
    <cfRule type="cellIs" dxfId="394" priority="1" stopIfTrue="1" operator="lessThan">
      <formula>1.2</formula>
    </cfRule>
  </conditionalFormatting>
  <conditionalFormatting sqref="E20:E26 E28">
    <cfRule type="cellIs" dxfId="393" priority="2" stopIfTrue="1" operator="greaterThanOrEqual">
      <formula>100</formula>
    </cfRule>
    <cfRule type="cellIs" dxfId="392" priority="3" stopIfTrue="1" operator="lessThan">
      <formula>100</formula>
    </cfRule>
  </conditionalFormatting>
  <conditionalFormatting sqref="E27">
    <cfRule type="cellIs" dxfId="391" priority="4" stopIfTrue="1" operator="greaterThanOrEqual">
      <formula>100.01</formula>
    </cfRule>
    <cfRule type="cellIs" dxfId="390" priority="5" stopIfTrue="1" operator="lessThan">
      <formula>100.01</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A41" zoomScale="85" zoomScaleNormal="100" zoomScaleSheetLayoutView="85" workbookViewId="0">
      <selection activeCell="L59" sqref="L59"/>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6640625" customWidth="1"/>
    <col min="9" max="9" width="11.1328125" customWidth="1"/>
    <col min="10" max="12" width="11.46484375" customWidth="1"/>
    <col min="13" max="13" width="3.33203125" customWidth="1"/>
  </cols>
  <sheetData>
    <row r="1" spans="2:12" ht="15">
      <c r="B1" s="1" t="s">
        <v>350</v>
      </c>
    </row>
    <row r="2" spans="2:12" ht="13.15">
      <c r="C2" s="1245" t="s">
        <v>351</v>
      </c>
      <c r="D2" s="1245"/>
      <c r="E2" s="1245"/>
      <c r="F2" s="1246" t="s">
        <v>207</v>
      </c>
      <c r="G2" s="1247"/>
    </row>
    <row r="4" spans="2:12" ht="13.15">
      <c r="B4" s="41" t="s">
        <v>326</v>
      </c>
      <c r="C4" s="41" t="s">
        <v>327</v>
      </c>
      <c r="D4" s="3"/>
      <c r="E4" s="41" t="s">
        <v>328</v>
      </c>
      <c r="F4" s="41" t="s">
        <v>352</v>
      </c>
      <c r="G4" s="41" t="s">
        <v>353</v>
      </c>
      <c r="I4" s="3"/>
      <c r="J4" s="142" t="s">
        <v>354</v>
      </c>
      <c r="K4" s="142" t="s">
        <v>355</v>
      </c>
    </row>
    <row r="5" spans="2:12">
      <c r="B5" s="362" t="s">
        <v>329</v>
      </c>
      <c r="C5" s="35" t="s">
        <v>175</v>
      </c>
      <c r="E5" s="17" t="s">
        <v>175</v>
      </c>
      <c r="F5" s="75" t="s">
        <v>181</v>
      </c>
      <c r="G5" s="67"/>
      <c r="I5" s="351" t="s">
        <v>356</v>
      </c>
      <c r="J5">
        <f>F22/1000</f>
        <v>0</v>
      </c>
      <c r="K5" s="140">
        <f>J5</f>
        <v>0</v>
      </c>
    </row>
    <row r="6" spans="2:12">
      <c r="B6" s="362" t="s">
        <v>357</v>
      </c>
      <c r="C6" s="35" t="s">
        <v>214</v>
      </c>
      <c r="E6" s="17" t="s">
        <v>214</v>
      </c>
      <c r="F6" s="68" t="s">
        <v>358</v>
      </c>
      <c r="G6" s="69"/>
      <c r="I6" s="351" t="s">
        <v>359</v>
      </c>
      <c r="J6">
        <f>F21/1000</f>
        <v>0</v>
      </c>
      <c r="K6" s="140">
        <f>F20/1000</f>
        <v>0</v>
      </c>
    </row>
    <row r="7" spans="2:12">
      <c r="B7" s="42" t="s">
        <v>331</v>
      </c>
      <c r="C7" s="36" t="str">
        <f>HLOOKUP(C5,MaterialData!$C$3:$O$4,2,FALSE)</f>
        <v>Steel</v>
      </c>
      <c r="D7" s="43"/>
      <c r="E7" s="36" t="str">
        <f>HLOOKUP(E5,MaterialData!$C$3:$R$4,2,FALSE)</f>
        <v>Steel</v>
      </c>
      <c r="F7" s="36" t="str">
        <f>HLOOKUP(F5,MaterialData!$C$3:$R$4,2,FALSE)</f>
        <v>25CrMo4</v>
      </c>
      <c r="G7" s="51"/>
    </row>
    <row r="8" spans="2:12" ht="15">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210000000000</v>
      </c>
      <c r="G8" s="69"/>
      <c r="I8" s="351" t="s">
        <v>360</v>
      </c>
      <c r="J8" s="43">
        <f>J5*J6</f>
        <v>0</v>
      </c>
      <c r="K8" s="351" t="s">
        <v>361</v>
      </c>
      <c r="L8" s="43">
        <f>(J5*J6^3)/12</f>
        <v>0</v>
      </c>
    </row>
    <row r="9" spans="2:12" ht="15">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781000000</v>
      </c>
      <c r="G9" s="51"/>
      <c r="I9" s="351" t="s">
        <v>362</v>
      </c>
      <c r="J9" s="43">
        <f>K5*K6</f>
        <v>0</v>
      </c>
      <c r="K9" s="351" t="s">
        <v>363</v>
      </c>
      <c r="L9" s="43">
        <f>(K5*K6^3)/12</f>
        <v>0</v>
      </c>
    </row>
    <row r="10" spans="2:12" ht="15">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884000000</v>
      </c>
      <c r="G10" s="51"/>
      <c r="I10" s="351" t="s">
        <v>364</v>
      </c>
      <c r="J10">
        <f>J6/2</f>
        <v>0</v>
      </c>
      <c r="K10" s="351" t="s">
        <v>365</v>
      </c>
      <c r="L10" s="43" t="e">
        <f>L8+(J8*($J$12-J10)^2)</f>
        <v>#DIV/0!</v>
      </c>
    </row>
    <row r="11" spans="2:12" ht="15">
      <c r="B11" s="42" t="s">
        <v>197</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I11" s="351" t="s">
        <v>366</v>
      </c>
      <c r="J11">
        <f>(F18-0.5*F20)*0.001</f>
        <v>0</v>
      </c>
      <c r="K11" s="351" t="s">
        <v>367</v>
      </c>
      <c r="L11" s="43" t="e">
        <f>L9+(J9*($J$12-J11)^2)</f>
        <v>#DIV/0!</v>
      </c>
    </row>
    <row r="12" spans="2:12" ht="15">
      <c r="B12" s="42" t="s">
        <v>198</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I12" s="351" t="s">
        <v>368</v>
      </c>
      <c r="J12" s="141" t="e">
        <f>(J8*J10+J9*J11)/(J8+J9)</f>
        <v>#DIV/0!</v>
      </c>
      <c r="K12" s="351" t="s">
        <v>369</v>
      </c>
      <c r="L12" s="144" t="e">
        <f>SUM(L10:L11)</f>
        <v>#DIV/0!</v>
      </c>
    </row>
    <row r="13" spans="2:12">
      <c r="E13" s="67"/>
      <c r="G13" s="69"/>
    </row>
    <row r="14" spans="2:12">
      <c r="B14" s="983" t="s">
        <v>370</v>
      </c>
      <c r="C14" s="35">
        <v>2</v>
      </c>
      <c r="E14" s="17">
        <v>2</v>
      </c>
      <c r="G14" s="69"/>
      <c r="I14" s="351"/>
      <c r="K14" s="351"/>
      <c r="L14" s="43"/>
    </row>
    <row r="15" spans="2:12">
      <c r="B15" s="42" t="s">
        <v>332</v>
      </c>
      <c r="C15" s="35">
        <v>25.4</v>
      </c>
      <c r="E15" s="17">
        <v>25</v>
      </c>
      <c r="G15" s="69"/>
      <c r="I15" s="351"/>
      <c r="K15" s="351"/>
      <c r="L15" s="43"/>
    </row>
    <row r="16" spans="2:12">
      <c r="B16" s="42" t="s">
        <v>333</v>
      </c>
      <c r="C16" s="143">
        <v>1.2</v>
      </c>
      <c r="E16" s="17">
        <v>1.5</v>
      </c>
      <c r="G16" s="69"/>
    </row>
    <row r="17" spans="2:16">
      <c r="E17" s="69"/>
      <c r="G17" s="69"/>
    </row>
    <row r="18" spans="2:16">
      <c r="B18" s="42" t="s">
        <v>371</v>
      </c>
      <c r="E18" s="69"/>
      <c r="F18" s="137">
        <f>F19+F20+F21</f>
        <v>0</v>
      </c>
      <c r="G18" s="69"/>
      <c r="K18" s="351"/>
      <c r="L18" s="43"/>
    </row>
    <row r="19" spans="2:16">
      <c r="B19" s="42" t="s">
        <v>372</v>
      </c>
      <c r="E19" s="69"/>
      <c r="F19" s="38"/>
      <c r="G19" s="69"/>
      <c r="K19" s="351"/>
      <c r="L19" s="43"/>
    </row>
    <row r="20" spans="2:16" ht="13.15">
      <c r="B20" s="42" t="s">
        <v>373</v>
      </c>
      <c r="E20" s="69"/>
      <c r="F20" s="38"/>
      <c r="G20" s="69"/>
      <c r="I20" s="361" t="str">
        <f>IF(F20&lt;0.4*F21,"Asymmetrical lay-up: skin too thin in comparison, see T3.4.4.","")</f>
        <v/>
      </c>
      <c r="J20" s="514"/>
      <c r="L20" s="43"/>
    </row>
    <row r="21" spans="2:16" ht="13.15">
      <c r="B21" s="362" t="s">
        <v>374</v>
      </c>
      <c r="E21" s="69"/>
      <c r="F21" s="38"/>
      <c r="G21" s="69"/>
      <c r="I21" s="361" t="str">
        <f>IF(F21&lt;0.4*F20,"Asymmetrical lay-up: skin too thin in comparison, see T3.4.4.","")</f>
        <v/>
      </c>
      <c r="J21" s="514"/>
      <c r="L21" s="43"/>
    </row>
    <row r="22" spans="2:16">
      <c r="B22" s="42" t="s">
        <v>375</v>
      </c>
      <c r="E22" s="69"/>
      <c r="F22" s="38"/>
      <c r="G22" s="69"/>
      <c r="J22" s="514"/>
      <c r="L22" s="43"/>
    </row>
    <row r="23" spans="2:16">
      <c r="E23" s="71"/>
      <c r="G23" s="69"/>
      <c r="J23" s="514"/>
      <c r="L23" s="43"/>
    </row>
    <row r="24" spans="2:16">
      <c r="B24" s="42" t="s">
        <v>334</v>
      </c>
      <c r="C24" s="35">
        <f>C15/1000</f>
        <v>2.5399999999999999E-2</v>
      </c>
      <c r="E24" s="35">
        <f>IF(F2="Composite only","No tubes",E15/1000)</f>
        <v>2.5000000000000001E-2</v>
      </c>
      <c r="G24" s="69"/>
      <c r="L24" s="43"/>
    </row>
    <row r="25" spans="2:16">
      <c r="B25" s="42" t="s">
        <v>335</v>
      </c>
      <c r="C25" s="35">
        <f>C16/1000</f>
        <v>1.1999999999999999E-3</v>
      </c>
      <c r="E25" s="35">
        <f>IF(F2="Composite only","",E16/1000)</f>
        <v>1.5E-3</v>
      </c>
      <c r="G25" s="71"/>
      <c r="L25" s="43"/>
      <c r="P25" s="44"/>
    </row>
    <row r="26" spans="2:16">
      <c r="B26" s="42" t="s">
        <v>336</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337</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338</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339</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340</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341</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342</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343</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344</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345</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2" t="s">
        <v>219</v>
      </c>
      <c r="K36" s="162"/>
    </row>
    <row r="37" spans="2:12" ht="13.15">
      <c r="B37" s="3" t="s">
        <v>376</v>
      </c>
      <c r="E37" s="43"/>
    </row>
    <row r="38" spans="2:12">
      <c r="B38" s="984" t="s">
        <v>377</v>
      </c>
      <c r="C38" s="20"/>
      <c r="D38" s="20"/>
      <c r="E38" s="20"/>
      <c r="F38" s="20"/>
      <c r="G38" s="20"/>
      <c r="H38" s="20"/>
      <c r="I38" s="20"/>
      <c r="J38" s="20"/>
      <c r="K38" s="20"/>
      <c r="L38" s="21"/>
    </row>
    <row r="39" spans="2:12">
      <c r="B39" s="985" t="s">
        <v>378</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BQpKb4qgJTML08IJvav6Br0ke7m0JqbUAH2vKrlw3Y6DBm6LHBDKSPkDmLJ7kcgeDHKSOahyOiMgVMXoC4ktlA==" saltValue="HeD5oeS+I+hWNVovbYerEw==" spinCount="100000" sheet="1" scenarios="1" insertHyperlinks="0"/>
  <protectedRanges>
    <protectedRange sqref="F2 E5:F5 E6 E14:E16 F19:F22 B38:L189" name="Bereich1"/>
  </protectedRanges>
  <mergeCells count="2">
    <mergeCell ref="C2:E2"/>
    <mergeCell ref="F2:G2"/>
  </mergeCells>
  <phoneticPr fontId="2" type="noConversion"/>
  <conditionalFormatting sqref="E16">
    <cfRule type="cellIs" dxfId="389" priority="6" stopIfTrue="1" operator="lessThan">
      <formula>1.2</formula>
    </cfRule>
  </conditionalFormatting>
  <conditionalFormatting sqref="F20">
    <cfRule type="expression" dxfId="388" priority="3">
      <formula>F20&lt;0.4*F21</formula>
    </cfRule>
  </conditionalFormatting>
  <conditionalFormatting sqref="F21">
    <cfRule type="expression" dxfId="387" priority="1">
      <formula>F21&lt;0.4*F20</formula>
    </cfRule>
  </conditionalFormatting>
  <conditionalFormatting sqref="H27:H33 H35">
    <cfRule type="cellIs" dxfId="386" priority="7" stopIfTrue="1" operator="greaterThanOrEqual">
      <formula>100</formula>
    </cfRule>
    <cfRule type="cellIs" dxfId="385" priority="8" stopIfTrue="1" operator="lessThan">
      <formula>100</formula>
    </cfRule>
  </conditionalFormatting>
  <conditionalFormatting sqref="H34">
    <cfRule type="cellIs" dxfId="384" priority="9" stopIfTrue="1" operator="greaterThanOrEqual">
      <formula>100.01</formula>
    </cfRule>
    <cfRule type="cellIs" dxfId="383" priority="10" stopIfTrue="1" operator="lessThan">
      <formula>100.01</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3:G14"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5 Guidance Notes'!A1" display="Link to GUIDANCE NOTES for anisotropic laminates" xr:uid="{00000000-0004-0000-0A00-000000000000}"/>
    <hyperlink ref="J36" location="'Cover Sheet'!A1" display="BACK to COVER SHEET" xr:uid="{00000000-0004-0000-0A00-000001000000}"/>
    <hyperlink ref="J36:K36" location="'Cover Sheet'!A1" display="BACK to COVER SHEET" xr:uid="{00000000-0004-0000-0A00-000002000000}"/>
    <hyperlink ref="B14" location="'T1.1 Guidance Notes'!A1" display="Number of tubes" xr:uid="{46422824-8215-49C2-B04F-256A998F0BA4}"/>
    <hyperlink ref="B38" location="'T3.10.5 T3.5 Guidance Notes'!A1" display="Link to Guidance Notes" xr:uid="{39DD96C1-34EB-4E97-951C-78743C73F614}"/>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35" zoomScaleNormal="100" zoomScaleSheetLayoutView="100" workbookViewId="0">
      <selection activeCell="G96" sqref="G96"/>
    </sheetView>
  </sheetViews>
  <sheetFormatPr baseColWidth="10" defaultColWidth="11.46484375" defaultRowHeight="12.75"/>
  <cols>
    <col min="1" max="1" width="3.46484375" style="123" customWidth="1"/>
    <col min="2" max="2" width="45.53125" style="123" customWidth="1"/>
    <col min="3" max="3" width="11.46484375" style="123" customWidth="1"/>
    <col min="4" max="4" width="3.53125" style="123" customWidth="1"/>
    <col min="5" max="5" width="11.6640625" style="123" customWidth="1"/>
    <col min="6" max="6" width="15.33203125" style="123" customWidth="1"/>
    <col min="7" max="7" width="11.6640625" style="123" customWidth="1"/>
    <col min="8" max="8" width="6.6640625" style="123" customWidth="1"/>
    <col min="9" max="9" width="11.1328125" style="123" customWidth="1"/>
    <col min="10" max="12" width="11.46484375" style="123" customWidth="1"/>
    <col min="13" max="13" width="3.33203125" style="123" customWidth="1"/>
    <col min="14" max="16384" width="11.46484375" style="123"/>
  </cols>
  <sheetData>
    <row r="1" spans="2:12" ht="15">
      <c r="B1" s="122" t="s">
        <v>379</v>
      </c>
    </row>
    <row r="2" spans="2:12" ht="13.15">
      <c r="C2" s="1248" t="s">
        <v>351</v>
      </c>
      <c r="D2" s="1249"/>
      <c r="E2" s="1250"/>
      <c r="F2" s="1251" t="s">
        <v>207</v>
      </c>
      <c r="G2" s="1252"/>
    </row>
    <row r="4" spans="2:12" ht="13.15">
      <c r="B4" s="124" t="s">
        <v>326</v>
      </c>
      <c r="C4" s="124" t="s">
        <v>327</v>
      </c>
      <c r="D4" s="125"/>
      <c r="E4" s="124" t="s">
        <v>328</v>
      </c>
      <c r="F4" s="126" t="s">
        <v>352</v>
      </c>
      <c r="G4" s="124" t="s">
        <v>353</v>
      </c>
      <c r="I4" s="3"/>
      <c r="J4" s="142" t="s">
        <v>354</v>
      </c>
      <c r="K4" s="142" t="s">
        <v>355</v>
      </c>
      <c r="L4"/>
    </row>
    <row r="5" spans="2:12">
      <c r="B5" s="128" t="s">
        <v>329</v>
      </c>
      <c r="C5" s="352" t="s">
        <v>175</v>
      </c>
      <c r="E5" s="353" t="s">
        <v>175</v>
      </c>
      <c r="F5" s="354" t="s">
        <v>181</v>
      </c>
      <c r="G5" s="127"/>
      <c r="I5" s="351" t="s">
        <v>356</v>
      </c>
      <c r="J5">
        <f>F22/1000</f>
        <v>0</v>
      </c>
      <c r="K5" s="140">
        <f>J5</f>
        <v>0</v>
      </c>
      <c r="L5"/>
    </row>
    <row r="6" spans="2:12">
      <c r="B6" s="128" t="s">
        <v>357</v>
      </c>
      <c r="C6" s="35" t="s">
        <v>214</v>
      </c>
      <c r="D6"/>
      <c r="E6" s="17" t="s">
        <v>214</v>
      </c>
      <c r="F6" s="68" t="s">
        <v>358</v>
      </c>
      <c r="G6" s="69"/>
      <c r="H6"/>
      <c r="I6" s="351" t="s">
        <v>359</v>
      </c>
      <c r="J6">
        <f>F21/1000</f>
        <v>0</v>
      </c>
      <c r="K6" s="140">
        <f>F20/1000</f>
        <v>0</v>
      </c>
      <c r="L6"/>
    </row>
    <row r="7" spans="2:12" ht="12.75" customHeight="1">
      <c r="B7" s="128" t="s">
        <v>331</v>
      </c>
      <c r="C7" s="36" t="str">
        <f>HLOOKUP(C5,MaterialData!$C$3:$O$4,2,FALSE)</f>
        <v>Steel</v>
      </c>
      <c r="D7" s="43"/>
      <c r="E7" s="36" t="str">
        <f>HLOOKUP(E5,MaterialData!$C$3:$R$4,2,FALSE)</f>
        <v>Steel</v>
      </c>
      <c r="F7" s="36" t="str">
        <f>HLOOKUP(F5,MaterialData!$C$3:$R$4,2,FALSE)</f>
        <v>25CrMo4</v>
      </c>
      <c r="G7" s="51"/>
      <c r="H7"/>
      <c r="I7"/>
      <c r="J7"/>
      <c r="K7"/>
      <c r="L7"/>
    </row>
    <row r="8" spans="2:12" ht="15">
      <c r="B8" s="128"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210000000000</v>
      </c>
      <c r="G8" s="127"/>
      <c r="H8"/>
      <c r="I8" s="351" t="s">
        <v>360</v>
      </c>
      <c r="J8" s="43">
        <f>J5*J6</f>
        <v>0</v>
      </c>
      <c r="K8" s="351" t="s">
        <v>361</v>
      </c>
      <c r="L8" s="43">
        <f>(J5*J6^3)/12</f>
        <v>0</v>
      </c>
    </row>
    <row r="9" spans="2:12" ht="15">
      <c r="B9" s="128"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781000000</v>
      </c>
      <c r="G9" s="127"/>
      <c r="H9"/>
      <c r="I9" s="351" t="s">
        <v>362</v>
      </c>
      <c r="J9" s="43">
        <f>K5*K6</f>
        <v>0</v>
      </c>
      <c r="K9" s="351" t="s">
        <v>363</v>
      </c>
      <c r="L9" s="43">
        <f>(K5*K6^3)/12</f>
        <v>0</v>
      </c>
    </row>
    <row r="10" spans="2:12" ht="15">
      <c r="B10" s="128"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884000000</v>
      </c>
      <c r="G10" s="51"/>
      <c r="H10"/>
      <c r="I10" s="351" t="s">
        <v>380</v>
      </c>
      <c r="J10">
        <f>J6/2</f>
        <v>0</v>
      </c>
      <c r="K10" s="351" t="s">
        <v>365</v>
      </c>
      <c r="L10" s="43" t="e">
        <f>L8+(J8*($J$12-J10)^2)</f>
        <v>#DIV/0!</v>
      </c>
    </row>
    <row r="11" spans="2:12" ht="15">
      <c r="B11" s="128" t="s">
        <v>197</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H11"/>
      <c r="I11" s="351" t="s">
        <v>381</v>
      </c>
      <c r="J11">
        <f>(F18-0.5*F20)*0.001</f>
        <v>0</v>
      </c>
      <c r="K11" s="351" t="s">
        <v>367</v>
      </c>
      <c r="L11" s="43" t="e">
        <f>L9+(J9*($J$12-J11)^2)</f>
        <v>#DIV/0!</v>
      </c>
    </row>
    <row r="12" spans="2:12" ht="15">
      <c r="B12" s="128" t="s">
        <v>198</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H12"/>
      <c r="I12" s="351" t="s">
        <v>368</v>
      </c>
      <c r="J12" s="141" t="e">
        <f>(J8*J10+J9*J11)/(J8+J9)</f>
        <v>#DIV/0!</v>
      </c>
      <c r="K12" s="351" t="s">
        <v>369</v>
      </c>
      <c r="L12" s="144" t="e">
        <f>SUM(L10:L11)</f>
        <v>#DIV/0!</v>
      </c>
    </row>
    <row r="13" spans="2:12">
      <c r="C13"/>
      <c r="D13"/>
      <c r="E13" s="67"/>
      <c r="F13"/>
      <c r="G13" s="69"/>
      <c r="H13"/>
      <c r="L13" s="129"/>
    </row>
    <row r="14" spans="2:12">
      <c r="B14" s="983" t="s">
        <v>370</v>
      </c>
      <c r="C14" s="35">
        <v>1</v>
      </c>
      <c r="D14"/>
      <c r="E14" s="17">
        <v>1</v>
      </c>
      <c r="F14"/>
      <c r="G14" s="69"/>
      <c r="H14"/>
      <c r="L14" s="129"/>
    </row>
    <row r="15" spans="2:12">
      <c r="B15" s="128" t="s">
        <v>332</v>
      </c>
      <c r="C15" s="35">
        <v>25.4</v>
      </c>
      <c r="D15"/>
      <c r="E15" s="17">
        <v>28</v>
      </c>
      <c r="F15"/>
      <c r="G15" s="69"/>
      <c r="H15"/>
      <c r="L15" s="129"/>
    </row>
    <row r="16" spans="2:12">
      <c r="B16" s="128" t="s">
        <v>333</v>
      </c>
      <c r="C16" s="143">
        <v>1.6</v>
      </c>
      <c r="D16"/>
      <c r="E16" s="17">
        <v>1.5</v>
      </c>
      <c r="F16"/>
      <c r="G16" s="69"/>
      <c r="H16"/>
      <c r="L16" s="129"/>
    </row>
    <row r="17" spans="2:16">
      <c r="C17"/>
      <c r="D17"/>
      <c r="E17" s="69"/>
      <c r="F17"/>
      <c r="G17" s="69"/>
      <c r="H17"/>
      <c r="L17" s="129"/>
    </row>
    <row r="18" spans="2:16">
      <c r="B18" s="128" t="s">
        <v>371</v>
      </c>
      <c r="C18"/>
      <c r="D18"/>
      <c r="E18" s="69"/>
      <c r="F18" s="137">
        <f>F19+F20+F21</f>
        <v>0</v>
      </c>
      <c r="G18" s="69"/>
      <c r="H18"/>
      <c r="L18" s="129"/>
    </row>
    <row r="19" spans="2:16">
      <c r="B19" s="128" t="s">
        <v>372</v>
      </c>
      <c r="C19"/>
      <c r="D19"/>
      <c r="E19" s="69"/>
      <c r="F19" s="38"/>
      <c r="G19" s="69"/>
      <c r="H19"/>
      <c r="L19" s="129"/>
    </row>
    <row r="20" spans="2:16" ht="13.15">
      <c r="B20" s="42" t="s">
        <v>373</v>
      </c>
      <c r="C20"/>
      <c r="D20"/>
      <c r="E20" s="69"/>
      <c r="F20" s="38"/>
      <c r="G20" s="69"/>
      <c r="H20"/>
      <c r="I20" s="361" t="str">
        <f>IF(F20&lt;0.4*F21,"Asymmetrical lay-up: skin too thin in comparison, see T3.4.4.","")</f>
        <v/>
      </c>
      <c r="L20" s="129"/>
    </row>
    <row r="21" spans="2:16" ht="13.15">
      <c r="B21" s="362" t="s">
        <v>374</v>
      </c>
      <c r="C21"/>
      <c r="D21"/>
      <c r="E21" s="69"/>
      <c r="F21" s="38"/>
      <c r="G21" s="69"/>
      <c r="H21"/>
      <c r="I21" s="361" t="str">
        <f>IF(F21&lt;0.4*F20,"Asymmetrical lay-up: skin too thin in comparison, see T3.4.4.","")</f>
        <v/>
      </c>
      <c r="L21" s="129"/>
    </row>
    <row r="22" spans="2:16">
      <c r="B22" s="128" t="s">
        <v>382</v>
      </c>
      <c r="C22"/>
      <c r="D22"/>
      <c r="E22" s="69"/>
      <c r="F22" s="38"/>
      <c r="G22" s="69"/>
      <c r="H22"/>
      <c r="L22" s="129"/>
    </row>
    <row r="23" spans="2:16">
      <c r="C23"/>
      <c r="D23"/>
      <c r="E23" s="71"/>
      <c r="F23"/>
      <c r="G23" s="69"/>
      <c r="H23"/>
      <c r="L23" s="129"/>
    </row>
    <row r="24" spans="2:16">
      <c r="B24" s="128" t="s">
        <v>334</v>
      </c>
      <c r="C24" s="35">
        <f>C15/1000</f>
        <v>2.5399999999999999E-2</v>
      </c>
      <c r="D24"/>
      <c r="E24" s="35">
        <f>IF(F2="Composite only","No tubes",E15/1000)</f>
        <v>2.8000000000000001E-2</v>
      </c>
      <c r="F24"/>
      <c r="G24" s="69"/>
      <c r="H24"/>
      <c r="L24" s="129"/>
    </row>
    <row r="25" spans="2:16">
      <c r="B25" s="128" t="s">
        <v>335</v>
      </c>
      <c r="C25" s="35">
        <f>C16/1000</f>
        <v>1.6000000000000001E-3</v>
      </c>
      <c r="D25"/>
      <c r="E25" s="35">
        <f>IF(F2="Composite only","",E16/1000)</f>
        <v>1.5E-3</v>
      </c>
      <c r="F25"/>
      <c r="G25" s="71"/>
      <c r="H25"/>
      <c r="L25" s="129"/>
      <c r="P25" s="130"/>
    </row>
    <row r="26" spans="2:16">
      <c r="B26" s="128" t="s">
        <v>336</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337</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338</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339</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340</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341</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342</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343</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344</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345</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K35" s="162"/>
      <c r="L35" s="162"/>
    </row>
    <row r="36" spans="2:12">
      <c r="J36" s="162" t="s">
        <v>219</v>
      </c>
    </row>
    <row r="37" spans="2:12" ht="13.15">
      <c r="B37" s="3" t="s">
        <v>376</v>
      </c>
      <c r="C37"/>
      <c r="D37"/>
      <c r="E37" s="43"/>
      <c r="F37"/>
      <c r="G37"/>
      <c r="H37"/>
    </row>
    <row r="38" spans="2:12">
      <c r="B38" s="984" t="s">
        <v>377</v>
      </c>
      <c r="C38" s="20"/>
      <c r="D38" s="20"/>
      <c r="E38" s="20"/>
      <c r="F38" s="20"/>
      <c r="G38" s="20"/>
      <c r="H38" s="20"/>
      <c r="I38" s="20"/>
      <c r="J38" s="20"/>
      <c r="K38" s="20"/>
      <c r="L38" s="21"/>
    </row>
    <row r="39" spans="2:12">
      <c r="B39" s="985" t="s">
        <v>378</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m3oXqJ2Y7TdvUDmPmXIEXVaVgEeZjPfSTrYgRmmOZxPjLH1WAaoHVHGFETEcyNTPHj/oluiEiaaVnVjhyUXtBQ==" saltValue="BO6LQPCKr5dToSnpdRargg==" spinCount="100000" sheet="1" scenarios="1" insertHyperlinks="0"/>
  <protectedRanges>
    <protectedRange sqref="F2:G2 F5 E5:E6 E14:E16 F19:F22 B38:L38 B40:L189 C39:L39" name="Bereich1"/>
    <protectedRange sqref="B39" name="Bereich1_1"/>
  </protectedRanges>
  <mergeCells count="2">
    <mergeCell ref="C2:E2"/>
    <mergeCell ref="F2:G2"/>
  </mergeCells>
  <phoneticPr fontId="0" type="noConversion"/>
  <conditionalFormatting sqref="E16">
    <cfRule type="cellIs" dxfId="382" priority="4" stopIfTrue="1" operator="lessThan">
      <formula>1.2</formula>
    </cfRule>
  </conditionalFormatting>
  <conditionalFormatting sqref="F20">
    <cfRule type="expression" dxfId="381" priority="3">
      <formula>F20&lt;0.4*F21</formula>
    </cfRule>
  </conditionalFormatting>
  <conditionalFormatting sqref="F21">
    <cfRule type="expression" dxfId="380" priority="1">
      <formula>F21&lt;0.4*F20</formula>
    </cfRule>
  </conditionalFormatting>
  <conditionalFormatting sqref="H27:H33 H35">
    <cfRule type="cellIs" dxfId="379" priority="5" stopIfTrue="1" operator="greaterThanOrEqual">
      <formula>100</formula>
    </cfRule>
    <cfRule type="cellIs" dxfId="378" priority="6" stopIfTrue="1" operator="lessThan">
      <formula>100</formula>
    </cfRule>
  </conditionalFormatting>
  <conditionalFormatting sqref="H34">
    <cfRule type="cellIs" dxfId="377" priority="7" stopIfTrue="1" operator="greaterThanOrEqual">
      <formula>100.01</formula>
    </cfRule>
    <cfRule type="cellIs" dxfId="376" priority="8" stopIfTrue="1" operator="lessThan">
      <formula>100.01</formula>
    </cfRule>
  </conditionalFormatting>
  <dataValidations count="6">
    <dataValidation allowBlank="1" showInputMessage="1" showErrorMessage="1" promptTitle="Select Material" sqref="F6 C6 G13: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J36" location="'Cover Sheet'!A1" display="BACK to COVER SHEET" xr:uid="{00000000-0004-0000-0B00-000001000000}"/>
    <hyperlink ref="J35:L35" location="'Cover Sheet'!A1" display="BACK to COVER SHEET" xr:uid="{00000000-0004-0000-0B00-000002000000}"/>
    <hyperlink ref="B38" location="'T3.11 T3.5 Guidance Notes'!A1" display="Link to guidance notes for laminated structures" xr:uid="{31F57B88-7AAC-468B-BC32-E5D7D2EA53FF}"/>
    <hyperlink ref="B39" location="'T3.5 Guidance Notes'!A1" display="Link to GUIDANCE NOTES for anisotropic laminates" xr:uid="{3DD41269-C693-427F-AD92-10AF8E2D9728}"/>
    <hyperlink ref="B14" location="'T1.1 Guidance Notes'!A1" display="Number of tubes" xr:uid="{9C295F24-AF0E-4169-8787-CBCF10C19C0F}"/>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A1:Z193"/>
  <sheetViews>
    <sheetView showGridLines="0" topLeftCell="A35" zoomScaleNormal="100" zoomScaleSheetLayoutView="100" workbookViewId="0">
      <selection activeCell="H76" sqref="H76"/>
    </sheetView>
  </sheetViews>
  <sheetFormatPr baseColWidth="10" defaultColWidth="11.46484375" defaultRowHeight="12.75"/>
  <cols>
    <col min="1" max="1" width="3.46484375" style="431" customWidth="1"/>
    <col min="2" max="2" width="45.53125" style="431" customWidth="1"/>
    <col min="3" max="3" width="11.46484375" style="431" customWidth="1"/>
    <col min="4" max="4" width="3.53125" style="431" customWidth="1"/>
    <col min="5" max="5" width="11.6640625" style="431" customWidth="1"/>
    <col min="6" max="6" width="15.33203125" style="431" customWidth="1"/>
    <col min="7" max="7" width="11.6640625" style="431" customWidth="1"/>
    <col min="8" max="8" width="6.6640625" style="431" customWidth="1"/>
    <col min="9" max="9" width="8.6640625" style="431" customWidth="1"/>
    <col min="10" max="10" width="4.33203125" style="431" customWidth="1"/>
    <col min="11" max="11" width="12.1328125" style="431" customWidth="1"/>
    <col min="12" max="12" width="3.86328125" style="431" customWidth="1"/>
    <col min="13" max="13" width="4.33203125" style="431" customWidth="1"/>
    <col min="14" max="14" width="3.33203125" style="431" bestFit="1" customWidth="1"/>
    <col min="15" max="15" width="11.46484375" style="431" customWidth="1"/>
    <col min="16" max="16" width="12.46484375" style="431" bestFit="1" customWidth="1"/>
    <col min="17" max="18" width="11.46484375" style="431" customWidth="1"/>
    <col min="19" max="19" width="11.33203125" style="431" customWidth="1"/>
    <col min="20" max="20" width="3.1328125" style="431" customWidth="1"/>
    <col min="21" max="21" width="3.33203125" style="431" customWidth="1"/>
    <col min="22" max="22" width="11.46484375" style="431" customWidth="1"/>
    <col min="23" max="23" width="3.33203125" style="431" customWidth="1"/>
    <col min="24" max="26" width="11.46484375" style="431" customWidth="1"/>
    <col min="27" max="27" width="3" style="431" customWidth="1"/>
    <col min="28" max="16384" width="11.46484375" style="431"/>
  </cols>
  <sheetData>
    <row r="1" spans="1:26" ht="15">
      <c r="B1" s="430" t="s">
        <v>383</v>
      </c>
    </row>
    <row r="2" spans="1:26" ht="13.15">
      <c r="C2" s="1253" t="s">
        <v>351</v>
      </c>
      <c r="D2" s="1253"/>
      <c r="E2" s="1253"/>
      <c r="F2" s="1251" t="s">
        <v>207</v>
      </c>
      <c r="G2" s="1252"/>
    </row>
    <row r="4" spans="1:26" ht="13.15">
      <c r="B4" s="432" t="s">
        <v>326</v>
      </c>
      <c r="C4" s="432" t="s">
        <v>327</v>
      </c>
      <c r="D4" s="433"/>
      <c r="E4" s="432" t="s">
        <v>328</v>
      </c>
      <c r="F4" s="434" t="s">
        <v>352</v>
      </c>
      <c r="G4" s="432" t="s">
        <v>353</v>
      </c>
      <c r="J4" s="435" t="s">
        <v>384</v>
      </c>
      <c r="K4" s="435"/>
      <c r="L4" s="435"/>
      <c r="M4" s="435"/>
      <c r="N4" s="435"/>
      <c r="O4" s="435"/>
      <c r="P4" s="433"/>
      <c r="Q4" s="436" t="s">
        <v>385</v>
      </c>
      <c r="R4" s="436" t="s">
        <v>148</v>
      </c>
    </row>
    <row r="5" spans="1:26" s="439" customFormat="1" ht="12.75" customHeight="1">
      <c r="B5" s="437" t="s">
        <v>329</v>
      </c>
      <c r="C5" s="438" t="s">
        <v>175</v>
      </c>
      <c r="E5" s="353" t="s">
        <v>175</v>
      </c>
      <c r="F5" s="354" t="s">
        <v>180</v>
      </c>
      <c r="G5" s="442"/>
      <c r="J5" s="443"/>
      <c r="K5" s="444"/>
      <c r="L5" s="444"/>
      <c r="M5" s="445"/>
      <c r="N5" s="1254" t="s">
        <v>386</v>
      </c>
      <c r="P5" s="446" t="s">
        <v>356</v>
      </c>
      <c r="Q5" s="439">
        <f>F25/2000</f>
        <v>2.5000000000000001E-2</v>
      </c>
      <c r="R5" s="446">
        <f>'T3.14 T3.5 FBH Spt Structure'!I21/1000</f>
        <v>0</v>
      </c>
      <c r="S5" s="447" t="s">
        <v>387</v>
      </c>
      <c r="U5" s="448"/>
      <c r="V5" s="449"/>
      <c r="W5" s="448"/>
      <c r="X5" s="450"/>
      <c r="Y5" s="451">
        <v>3</v>
      </c>
      <c r="Z5" s="452"/>
    </row>
    <row r="6" spans="1:26" s="439" customFormat="1" ht="12.75" customHeight="1">
      <c r="B6" s="437" t="s">
        <v>357</v>
      </c>
      <c r="C6" s="438" t="s">
        <v>214</v>
      </c>
      <c r="E6" s="440" t="s">
        <v>214</v>
      </c>
      <c r="F6" s="453" t="s">
        <v>358</v>
      </c>
      <c r="G6" s="442"/>
      <c r="J6" s="454"/>
      <c r="K6" s="449"/>
      <c r="L6" s="1255" t="s">
        <v>388</v>
      </c>
      <c r="M6" s="455"/>
      <c r="N6" s="1254"/>
      <c r="P6" s="446" t="s">
        <v>389</v>
      </c>
      <c r="Q6" s="439">
        <f>F24/1000</f>
        <v>0</v>
      </c>
      <c r="R6" s="439">
        <f>'T3.14 T3.5 FBH Spt Structure'!I20/1000</f>
        <v>0</v>
      </c>
      <c r="S6" s="439" t="s">
        <v>390</v>
      </c>
      <c r="U6" s="442"/>
      <c r="V6" s="456"/>
      <c r="W6" s="442"/>
      <c r="X6" s="449"/>
      <c r="Y6" s="457"/>
      <c r="Z6" s="458"/>
    </row>
    <row r="7" spans="1:26" s="439" customFormat="1" ht="12.75" customHeight="1">
      <c r="B7" s="437" t="s">
        <v>331</v>
      </c>
      <c r="C7" s="459" t="str">
        <f>HLOOKUP(C5,MaterialData!$C$3:$O$4,2,FALSE)</f>
        <v>Steel</v>
      </c>
      <c r="D7" s="460"/>
      <c r="E7" s="459" t="str">
        <f>HLOOKUP(E5,MaterialData!$C$3:$R$4,2,FALSE)</f>
        <v>Steel</v>
      </c>
      <c r="F7" s="459" t="str">
        <f>HLOOKUP(F5,MaterialData!$C$3:$R$4,2,FALSE)</f>
        <v>FBH</v>
      </c>
      <c r="G7" s="461"/>
      <c r="J7" s="454"/>
      <c r="K7" s="456"/>
      <c r="L7" s="1256"/>
      <c r="M7" s="455"/>
      <c r="N7" s="1254"/>
      <c r="P7" s="446" t="s">
        <v>391</v>
      </c>
      <c r="Q7" s="439">
        <f>F23/1000</f>
        <v>0</v>
      </c>
      <c r="R7" s="446">
        <f>25.4/1000</f>
        <v>2.5399999999999999E-2</v>
      </c>
      <c r="S7" s="439" t="s">
        <v>359</v>
      </c>
      <c r="U7" s="442"/>
      <c r="V7" s="456"/>
      <c r="W7" s="442"/>
      <c r="X7" s="456"/>
      <c r="Z7" s="462"/>
    </row>
    <row r="8" spans="1:26" ht="15.75" customHeight="1">
      <c r="B8" s="463" t="s">
        <v>194</v>
      </c>
      <c r="C8" s="464">
        <f>INDEX(Innertable,MATCH($B8,MaterialData!$B$6:$B$11,0),MATCH(C$7,MaterialData!$C$4:$O$4,0))</f>
        <v>200000000000</v>
      </c>
      <c r="D8" s="465"/>
      <c r="E8" s="464">
        <f>INDEX(Innertable,MATCH($B8,MaterialData!$B$6:$B$11,0),MATCH(E$7,MaterialData!$C$4:$R$4,0))</f>
        <v>200000000000</v>
      </c>
      <c r="F8" s="464">
        <f>INDEX(Innertable,MATCH($B8,MaterialData!$B$6:$B$11,0),MATCH(F$7,MaterialData!$C$4:$R$4,0))</f>
        <v>0</v>
      </c>
      <c r="G8" s="466"/>
      <c r="J8" s="467"/>
      <c r="K8" s="468"/>
      <c r="L8" s="1256"/>
      <c r="M8" s="469"/>
      <c r="N8" s="1254"/>
      <c r="P8" s="470" t="s">
        <v>360</v>
      </c>
      <c r="Q8" s="465">
        <f>Q5*Q6</f>
        <v>0</v>
      </c>
      <c r="R8" s="470" t="s">
        <v>361</v>
      </c>
      <c r="S8" s="465">
        <f>(Q5*Q6^3)/12</f>
        <v>0</v>
      </c>
      <c r="U8" s="471"/>
      <c r="V8" s="468"/>
      <c r="W8" s="471"/>
      <c r="X8" s="472"/>
      <c r="Y8" s="473"/>
      <c r="Z8" s="474"/>
    </row>
    <row r="9" spans="1:26" ht="15">
      <c r="B9" s="463" t="s">
        <v>195</v>
      </c>
      <c r="C9" s="464">
        <f>INDEX(Innertable,MATCH($B9,MaterialData!$B$6:$B$11,0),MATCH(C$7,MaterialData!$C$4:$O$4,0))</f>
        <v>305000000</v>
      </c>
      <c r="D9" s="465"/>
      <c r="E9" s="464">
        <f>INDEX(Innertable,MATCH($B9,MaterialData!$B$6:$B$11,0),MATCH(E$7,MaterialData!$C$4:$R$4,0))</f>
        <v>305000000</v>
      </c>
      <c r="F9" s="464" t="e">
        <f>INDEX(Innertable,MATCH($B9,MaterialData!$B$6:$B$11,0),MATCH(F$7,MaterialData!$C$4:$R$4,0))</f>
        <v>#DIV/0!</v>
      </c>
      <c r="G9" s="466"/>
      <c r="J9" s="467"/>
      <c r="K9" s="468"/>
      <c r="L9" s="1256"/>
      <c r="M9" s="469"/>
      <c r="N9" s="1254"/>
      <c r="P9" s="470" t="s">
        <v>362</v>
      </c>
      <c r="Q9" s="465">
        <f>Q5*Q7</f>
        <v>0</v>
      </c>
      <c r="R9" s="470" t="s">
        <v>363</v>
      </c>
      <c r="S9" s="465">
        <f>(Q5*Q7^3)/12</f>
        <v>0</v>
      </c>
      <c r="U9" s="475">
        <v>1</v>
      </c>
      <c r="V9" s="468"/>
      <c r="W9" s="475">
        <v>2</v>
      </c>
      <c r="X9" s="476"/>
      <c r="Y9" s="477">
        <v>4</v>
      </c>
      <c r="Z9" s="478"/>
    </row>
    <row r="10" spans="1:26" ht="15">
      <c r="B10" s="463" t="s">
        <v>196</v>
      </c>
      <c r="C10" s="464">
        <f>INDEX(Innertable,MATCH($B10,MaterialData!$B$6:$B$11,0),MATCH(C$7,MaterialData!$C$4:$O$4,0))</f>
        <v>365000000</v>
      </c>
      <c r="D10" s="465"/>
      <c r="E10" s="464">
        <f>INDEX(Innertable,MATCH($B10,MaterialData!$B$6:$B$11,0),MATCH(E$7,MaterialData!$C$4:$R$4,0))</f>
        <v>365000000</v>
      </c>
      <c r="F10" s="464" t="e">
        <f>INDEX(Innertable,MATCH($B10,MaterialData!$B$6:$B$11,0),MATCH(F$7,MaterialData!$C$4:$R$4,0))</f>
        <v>#DIV/0!</v>
      </c>
      <c r="G10" s="466"/>
      <c r="J10" s="467"/>
      <c r="K10" s="468"/>
      <c r="L10" s="1256"/>
      <c r="M10" s="469"/>
      <c r="N10" s="1254"/>
      <c r="P10" s="470" t="s">
        <v>392</v>
      </c>
      <c r="Q10" s="465">
        <f>R5*R7</f>
        <v>0</v>
      </c>
      <c r="R10" s="470" t="s">
        <v>393</v>
      </c>
      <c r="S10" s="465">
        <f>(R5*R7^3)/12</f>
        <v>0</v>
      </c>
      <c r="U10" s="471"/>
      <c r="V10" s="468"/>
      <c r="W10" s="471"/>
    </row>
    <row r="11" spans="1:26" ht="15">
      <c r="B11" s="463" t="s">
        <v>197</v>
      </c>
      <c r="C11" s="464">
        <f>INDEX(Innertable,MATCH($B11,MaterialData!$B$6:$B$11,0),MATCH(C$7,MaterialData!$C$4:$O$4,0))</f>
        <v>180000000</v>
      </c>
      <c r="D11" s="465"/>
      <c r="E11" s="464">
        <f>INDEX(Innertable,MATCH($B11,MaterialData!$B$6:$B$11,0),MATCH(E$7,MaterialData!$C$4:$R$4,0))</f>
        <v>180000000</v>
      </c>
      <c r="F11" s="464" t="str">
        <f>INDEX(Innertable,MATCH($B11,MaterialData!$B$6:$B$11,0),MATCH(F$7,MaterialData!$C$4:$R$4,0))</f>
        <v>N/A</v>
      </c>
      <c r="G11" s="466"/>
      <c r="J11" s="467"/>
      <c r="K11" s="479" t="s">
        <v>394</v>
      </c>
      <c r="L11" s="1257"/>
      <c r="M11" s="469"/>
      <c r="N11" s="1254"/>
      <c r="P11" s="470" t="s">
        <v>395</v>
      </c>
      <c r="Q11" s="465">
        <f>R6*R7</f>
        <v>0</v>
      </c>
      <c r="R11" s="470" t="s">
        <v>396</v>
      </c>
      <c r="S11" s="465">
        <f>(R6*R7^3)/12</f>
        <v>0</v>
      </c>
      <c r="U11" s="471"/>
      <c r="V11" s="468"/>
      <c r="W11" s="471"/>
    </row>
    <row r="12" spans="1:26" ht="15">
      <c r="B12" s="463" t="s">
        <v>198</v>
      </c>
      <c r="C12" s="480">
        <f>INDEX(Innertable,MATCH($B12,MaterialData!$B$6:$B$11,0),MATCH(C$7,MaterialData!$C$4:$O$4,0))</f>
        <v>300000000</v>
      </c>
      <c r="D12" s="465"/>
      <c r="E12" s="464">
        <f>INDEX(Innertable,MATCH($B12,MaterialData!$B$6:$B$11,0),MATCH(E$7,MaterialData!$C$4:$R$4,0))</f>
        <v>300000000</v>
      </c>
      <c r="F12" s="464" t="str">
        <f>INDEX(Innertable,MATCH($B12,MaterialData!$B$6:$B$11,0),MATCH(F$7,MaterialData!$C$4:$R$4,0))</f>
        <v>N/A</v>
      </c>
      <c r="G12" s="466"/>
      <c r="J12" s="481"/>
      <c r="K12" s="482"/>
      <c r="L12" s="483"/>
      <c r="M12" s="484"/>
      <c r="N12" s="1254"/>
      <c r="P12" s="470" t="s">
        <v>397</v>
      </c>
      <c r="Q12" s="431">
        <f>Q6/2</f>
        <v>0</v>
      </c>
      <c r="R12" s="470" t="s">
        <v>365</v>
      </c>
      <c r="S12" s="465" t="e">
        <f>S8+(Q8*($Q$16-Q12)^2)</f>
        <v>#DIV/0!</v>
      </c>
      <c r="U12" s="471"/>
      <c r="V12" s="468"/>
      <c r="W12" s="471"/>
    </row>
    <row r="13" spans="1:26" s="439" customFormat="1" ht="12.75" customHeight="1">
      <c r="B13" s="437" t="s">
        <v>199</v>
      </c>
      <c r="C13" s="485">
        <f>MaterialData!C11</f>
        <v>219000000</v>
      </c>
      <c r="E13" s="442"/>
      <c r="F13" s="459">
        <f>INDEX(Innertable,MATCH($B13,MaterialData!$B$6:$B$11,0),MATCH(F$7,MaterialData!$C$4:$R$4,0))</f>
        <v>0</v>
      </c>
      <c r="G13" s="442"/>
      <c r="J13" s="1258" t="s">
        <v>398</v>
      </c>
      <c r="K13" s="1258"/>
      <c r="L13" s="1258"/>
      <c r="M13" s="1258"/>
      <c r="P13" s="446" t="s">
        <v>399</v>
      </c>
      <c r="Q13" s="439">
        <f>(F24+F22+0.5*F23)/1000</f>
        <v>0</v>
      </c>
      <c r="R13" s="446" t="s">
        <v>367</v>
      </c>
      <c r="S13" s="460" t="e">
        <f>S9+(Q9*($Q$16-Q13)^2)</f>
        <v>#DIV/0!</v>
      </c>
      <c r="U13" s="486"/>
      <c r="V13" s="487"/>
      <c r="W13" s="486"/>
    </row>
    <row r="14" spans="1:26" s="439" customFormat="1" ht="12.75" customHeight="1">
      <c r="C14" s="460"/>
      <c r="E14" s="442"/>
      <c r="F14" s="460"/>
      <c r="G14" s="442"/>
      <c r="L14" s="460"/>
      <c r="P14" s="446" t="s">
        <v>400</v>
      </c>
      <c r="Q14" s="439">
        <f>(F21*0.001)+(0.5*R7)</f>
        <v>1.2699999999999999E-2</v>
      </c>
      <c r="R14" s="446" t="s">
        <v>401</v>
      </c>
      <c r="S14" s="460" t="e">
        <f>S10+(Q10*($Q$16-Q14)^2)</f>
        <v>#DIV/0!</v>
      </c>
    </row>
    <row r="15" spans="1:26" s="439" customFormat="1" ht="12.75" customHeight="1">
      <c r="B15" s="437" t="s">
        <v>402</v>
      </c>
      <c r="E15" s="440">
        <v>388</v>
      </c>
      <c r="F15" s="460"/>
      <c r="G15" s="442"/>
      <c r="K15" s="446" t="s">
        <v>403</v>
      </c>
      <c r="L15" s="1260">
        <v>400</v>
      </c>
      <c r="M15" s="1261"/>
      <c r="N15" s="1262"/>
      <c r="P15" s="446" t="s">
        <v>404</v>
      </c>
      <c r="Q15" s="439">
        <f>Q14</f>
        <v>1.2699999999999999E-2</v>
      </c>
      <c r="R15" s="446" t="s">
        <v>405</v>
      </c>
      <c r="S15" s="460" t="e">
        <f>S11+(Q11*($Q$16-Q15)^2)</f>
        <v>#DIV/0!</v>
      </c>
      <c r="U15" s="1259" t="s">
        <v>406</v>
      </c>
      <c r="V15" s="1259"/>
      <c r="W15" s="1259"/>
      <c r="X15" s="1259" t="s">
        <v>407</v>
      </c>
      <c r="Y15" s="1259"/>
      <c r="Z15" s="1259"/>
    </row>
    <row r="16" spans="1:26" s="439" customFormat="1" ht="12.75" customHeight="1">
      <c r="B16" s="437" t="s">
        <v>408</v>
      </c>
      <c r="E16" s="440">
        <v>388</v>
      </c>
      <c r="F16" s="460"/>
      <c r="G16" s="442"/>
      <c r="K16" s="446" t="s">
        <v>409</v>
      </c>
      <c r="L16" s="1260">
        <v>350</v>
      </c>
      <c r="M16" s="1261"/>
      <c r="N16" s="1262"/>
      <c r="P16" s="446" t="s">
        <v>368</v>
      </c>
      <c r="Q16" s="488" t="e">
        <f>(Q8*Q12+Q9*Q13+Q10*Q14+Q11*Q15)/(Q8+Q9+Q10+Q11)</f>
        <v>#DIV/0!</v>
      </c>
    </row>
    <row r="17" spans="2:19" s="439" customFormat="1" ht="12.75" customHeight="1">
      <c r="B17" s="983" t="s">
        <v>370</v>
      </c>
      <c r="C17" s="438">
        <v>2</v>
      </c>
      <c r="E17" s="440">
        <v>2.5</v>
      </c>
      <c r="G17" s="442"/>
      <c r="K17" s="446" t="s">
        <v>410</v>
      </c>
      <c r="L17" s="1260">
        <v>350</v>
      </c>
      <c r="M17" s="1261"/>
      <c r="N17" s="1262"/>
      <c r="R17" s="446" t="s">
        <v>369</v>
      </c>
      <c r="S17" s="485" t="e">
        <f>SUM(S12:S13)</f>
        <v>#DIV/0!</v>
      </c>
    </row>
    <row r="18" spans="2:19" s="439" customFormat="1" ht="12.75" customHeight="1">
      <c r="B18" s="437" t="s">
        <v>332</v>
      </c>
      <c r="C18" s="489">
        <v>25.4</v>
      </c>
      <c r="E18" s="440">
        <v>28</v>
      </c>
      <c r="G18" s="442"/>
      <c r="K18" s="446" t="s">
        <v>411</v>
      </c>
      <c r="L18" s="1260">
        <v>200</v>
      </c>
      <c r="M18" s="1261"/>
      <c r="N18" s="1262"/>
      <c r="R18" s="446" t="s">
        <v>412</v>
      </c>
      <c r="S18" s="485" t="e">
        <f>SUM(S14:S15)</f>
        <v>#DIV/0!</v>
      </c>
    </row>
    <row r="19" spans="2:19" s="439" customFormat="1" ht="12.75" customHeight="1">
      <c r="B19" s="437" t="s">
        <v>333</v>
      </c>
      <c r="C19" s="438">
        <v>1.6</v>
      </c>
      <c r="E19" s="440">
        <v>1.5</v>
      </c>
      <c r="G19" s="442"/>
      <c r="J19" s="490"/>
      <c r="K19" s="490"/>
      <c r="L19" s="490"/>
      <c r="M19" s="490"/>
      <c r="N19" s="490"/>
      <c r="R19" s="446" t="s">
        <v>413</v>
      </c>
      <c r="S19" s="485">
        <f>'T3.14 T3.5 FBH Spt Structure'!I8</f>
        <v>0</v>
      </c>
    </row>
    <row r="20" spans="2:19" s="439" customFormat="1" ht="12.75" customHeight="1">
      <c r="E20" s="442"/>
      <c r="G20" s="442"/>
    </row>
    <row r="21" spans="2:19" s="439" customFormat="1" ht="12.75" customHeight="1">
      <c r="B21" s="437" t="s">
        <v>371</v>
      </c>
      <c r="E21" s="442"/>
      <c r="F21" s="491">
        <f>F22+F23+F24</f>
        <v>0</v>
      </c>
      <c r="G21" s="442"/>
    </row>
    <row r="22" spans="2:19" s="439" customFormat="1" ht="12.75" customHeight="1">
      <c r="B22" s="437" t="s">
        <v>372</v>
      </c>
      <c r="E22" s="442"/>
      <c r="F22" s="441"/>
      <c r="G22" s="442"/>
    </row>
    <row r="23" spans="2:19" s="439" customFormat="1" ht="12.75" customHeight="1">
      <c r="B23" s="437" t="s">
        <v>373</v>
      </c>
      <c r="E23" s="442"/>
      <c r="F23" s="38"/>
      <c r="G23" s="442"/>
      <c r="I23" s="361" t="str">
        <f>IF(F23&lt;0.4*F24,"Asymmetrical lay-up: skin too thin in comparison, see T3.4.4.","")</f>
        <v/>
      </c>
    </row>
    <row r="24" spans="2:19" s="439" customFormat="1" ht="12.75" customHeight="1">
      <c r="B24" s="437" t="s">
        <v>374</v>
      </c>
      <c r="E24" s="442"/>
      <c r="F24" s="38"/>
      <c r="G24" s="442"/>
      <c r="I24" s="361" t="str">
        <f>IF(F24&lt;0.4*F23,"Asymmetrical lay-up: skin too thin in comparison, see T3.4.4.","")</f>
        <v/>
      </c>
      <c r="P24" s="435"/>
      <c r="Q24" s="492"/>
      <c r="R24" s="492"/>
    </row>
    <row r="25" spans="2:19" s="439" customFormat="1" ht="12.75" customHeight="1">
      <c r="B25" s="437" t="s">
        <v>375</v>
      </c>
      <c r="E25" s="442"/>
      <c r="F25" s="491">
        <f>MIN(L15-L17,L16-L18)</f>
        <v>50</v>
      </c>
      <c r="G25" s="442"/>
      <c r="P25" s="446"/>
      <c r="R25" s="446"/>
    </row>
    <row r="26" spans="2:19">
      <c r="E26" s="493"/>
      <c r="G26" s="471"/>
      <c r="P26" s="470"/>
      <c r="R26" s="470"/>
    </row>
    <row r="27" spans="2:19">
      <c r="B27" s="463" t="s">
        <v>334</v>
      </c>
      <c r="C27" s="494">
        <f>C18/1000</f>
        <v>2.5399999999999999E-2</v>
      </c>
      <c r="E27" s="494">
        <f>IF($F$2="Composite only","No tubes",$E$18/1000)</f>
        <v>2.8000000000000001E-2</v>
      </c>
      <c r="G27" s="471"/>
    </row>
    <row r="28" spans="2:19">
      <c r="B28" s="463" t="s">
        <v>335</v>
      </c>
      <c r="C28" s="494">
        <f>C19/1000</f>
        <v>1.6000000000000001E-3</v>
      </c>
      <c r="E28" s="494">
        <f>IF($F$2="Composite only","",$E$19/1000)</f>
        <v>1.5E-3</v>
      </c>
      <c r="G28" s="493"/>
      <c r="P28" s="470"/>
      <c r="Q28" s="465"/>
      <c r="R28" s="470"/>
      <c r="S28" s="465"/>
    </row>
    <row r="29" spans="2:19">
      <c r="B29" s="463" t="s">
        <v>336</v>
      </c>
      <c r="C29" s="464">
        <f>IF(C6="Round",((C27)^4-((C27-2*C28))^4)*3.142/64,((C27)^4-((C27-2*C28))^4)/12)</f>
        <v>8.5099184800000022E-9</v>
      </c>
      <c r="E29" s="464">
        <f>IF($F$2="Composite only","",IF($E$6="Round",(($E$27)^4-(($E$27-2*$E$28))^4)*3.142/64,IF($E$6="Square",(($E$27)^4-(($E$27-2*$E$28))^4)/12,"")))</f>
        <v>1.0998521906249999E-8</v>
      </c>
      <c r="F29" s="495" t="str">
        <f>IF($F$2="Tubing only","Tubing Only",2*(S17+S18))</f>
        <v>Tubing Only</v>
      </c>
      <c r="G29" s="464">
        <f>IF($F$2="Tubing only",E29,IF($F$2="Composite only",F29,IF($F$2="Tubes + Composite",E29+F29,"No Type Selected")))</f>
        <v>1.0998521906249999E-8</v>
      </c>
      <c r="P29" s="470"/>
      <c r="Q29" s="465"/>
      <c r="R29" s="470"/>
      <c r="S29" s="465"/>
    </row>
    <row r="30" spans="2:19">
      <c r="B30" s="463" t="s">
        <v>337</v>
      </c>
      <c r="C30" s="464">
        <f>C8*C29*C17</f>
        <v>3403.9673920000009</v>
      </c>
      <c r="D30" s="465"/>
      <c r="E30" s="464">
        <f>IF($F$2="Composite only","",$E$8*$E$29*$E$17)</f>
        <v>5499.2609531249991</v>
      </c>
      <c r="F30" s="495" t="str">
        <f>IF(F29="Tubing Only","",2*((F8*S17)+(S18*S19)))</f>
        <v/>
      </c>
      <c r="G30" s="464">
        <f t="shared" ref="G30:G36" si="0">IF($F$2="Tubing only",E30,IF($F$2="Composite only",F30,IF($F$2="Tubes + Composite",E30+F30,"No Type Selected")))</f>
        <v>5499.2609531249991</v>
      </c>
      <c r="H30" s="496">
        <f>100*G30/C30</f>
        <v>161.5544545476362</v>
      </c>
      <c r="R30" s="470"/>
      <c r="S30" s="465"/>
    </row>
    <row r="31" spans="2:19">
      <c r="B31" s="463" t="s">
        <v>338</v>
      </c>
      <c r="C31" s="497">
        <f>IF(C27="no tubes","",IF(C17=0,"",IF(C6="Round",C17*((C18^2-(C18-2*C19)^2)*PI()/4),IF(C6="Square",C17*(C18^2-(C18-2*C19)^2),""))))</f>
        <v>239.26369649739863</v>
      </c>
      <c r="D31" s="498"/>
      <c r="E31" s="497">
        <f>IF($E$27="no tubes","",IF($E$17=0,"",IF($E$6="Round",$E$17*(($E$18^2-($E$18-2*$E$19)^2)*PI()/4),IF($E$6="Square",$E$17*($E$18^2-($E$18-2*$E$19)^2),""))))</f>
        <v>312.19576995048567</v>
      </c>
      <c r="F31" s="497" t="str">
        <f>IF(F29="Tubing Only","",(F21-F22)*F25)</f>
        <v/>
      </c>
      <c r="G31" s="497">
        <f t="shared" si="0"/>
        <v>312.19576995048567</v>
      </c>
      <c r="H31" s="496">
        <f>IF(AND(F2="tubing only",E5="steel"),100*G31/C31,"NA")</f>
        <v>130.48188025210084</v>
      </c>
      <c r="I31" s="431" t="str">
        <f>IF(AND(95&lt;H31,H31&lt;100),"For tubes only, provided your actual tube measures &gt;= your nominal OD and wall this is OK","")</f>
        <v/>
      </c>
      <c r="R31" s="470"/>
      <c r="S31" s="465"/>
    </row>
    <row r="32" spans="2:19">
      <c r="B32" s="463" t="s">
        <v>339</v>
      </c>
      <c r="C32" s="464">
        <f>C$31*C9/1000000</f>
        <v>72975.427431706587</v>
      </c>
      <c r="D32" s="465"/>
      <c r="E32" s="464">
        <f>IF($F$2="Composite only","",$E$31*$E$9/1000000)</f>
        <v>95219.709834898138</v>
      </c>
      <c r="F32" s="464" t="str">
        <f>IF(F29="Tubing Only","",F31*F9/1000000)</f>
        <v/>
      </c>
      <c r="G32" s="464">
        <f t="shared" si="0"/>
        <v>95219.709834898138</v>
      </c>
      <c r="H32" s="496">
        <f t="shared" ref="H32:H36" si="1">100*G32/C32</f>
        <v>130.48188025210084</v>
      </c>
      <c r="I32" s="431" t="str">
        <f>IF(AND(95&lt;H32,H32&lt;100),"For tubes only, provided your actual tube measures &gt;= your nominal OD and wall this is OK","")</f>
        <v/>
      </c>
      <c r="Q32" s="499"/>
      <c r="R32" s="470"/>
      <c r="S32" s="465"/>
    </row>
    <row r="33" spans="2:26">
      <c r="B33" s="463" t="s">
        <v>340</v>
      </c>
      <c r="C33" s="464">
        <f>C$31*C10/1000000</f>
        <v>87331.24922155049</v>
      </c>
      <c r="D33" s="465"/>
      <c r="E33" s="464">
        <f>IF($F$2="Composite only","",$E$31*$E$10/1000000)</f>
        <v>113951.45603192727</v>
      </c>
      <c r="F33" s="464" t="str">
        <f>IF(F29="Tubing Only","",F31*F10/1000000)</f>
        <v/>
      </c>
      <c r="G33" s="464">
        <f t="shared" si="0"/>
        <v>113951.45603192727</v>
      </c>
      <c r="H33" s="496">
        <f t="shared" si="1"/>
        <v>130.48188025210086</v>
      </c>
      <c r="I33" s="431" t="str">
        <f>IF(AND(95&lt;H33,H33&lt;100),"For tubes only, provided your actual tube measures &gt;= your nominal OD and wall this is OK","")</f>
        <v/>
      </c>
    </row>
    <row r="34" spans="2:26">
      <c r="B34" s="463" t="s">
        <v>341</v>
      </c>
      <c r="C34" s="464">
        <f>C$31*C11/1000000</f>
        <v>43067.465369531754</v>
      </c>
      <c r="D34" s="465"/>
      <c r="E34" s="464">
        <f>IF($F$2="Composite only","",$E$31*$E$11/1000000)</f>
        <v>56195.238591087415</v>
      </c>
      <c r="F34" s="464" t="str">
        <f>IF(F29="Tubing Only","",F31*F9/1000000)</f>
        <v/>
      </c>
      <c r="G34" s="464">
        <f>IF($F$2="Tubing only",E34,IF($F$2="Composite only",F34,IF($F$2="Tubes + Composite",E34+F34,"No Type Selected")))</f>
        <v>56195.238591087415</v>
      </c>
      <c r="H34" s="496">
        <f t="shared" si="1"/>
        <v>130.48188025210084</v>
      </c>
      <c r="I34" s="431" t="str">
        <f>IF(AND(95&lt;H34,H34&lt;100),"For tubes only, provided your actual tube measures &gt;= your nominal OD and wall this is OK","")</f>
        <v/>
      </c>
    </row>
    <row r="35" spans="2:26">
      <c r="B35" s="463" t="s">
        <v>342</v>
      </c>
      <c r="C35" s="464">
        <f>IF(C17=0,"",C$31*C12/1000000)</f>
        <v>71779.10894921959</v>
      </c>
      <c r="D35" s="465"/>
      <c r="E35" s="464">
        <f>IF($F$2="Composite only","",$E$31*$E$12/1000000)</f>
        <v>93658.73098514571</v>
      </c>
      <c r="F35" s="464" t="str">
        <f>IF(F29="tubing only","",F31*F10/1000000)</f>
        <v/>
      </c>
      <c r="G35" s="464">
        <f t="shared" si="0"/>
        <v>93658.73098514571</v>
      </c>
      <c r="H35" s="496">
        <f t="shared" si="1"/>
        <v>130.48188025210086</v>
      </c>
      <c r="I35" s="431" t="str">
        <f>IF(AND(95&lt;H35,H35&lt;100),"For tubes only, provided your actual tube measures &gt;= your nominal OD and wall this is OK","")</f>
        <v/>
      </c>
    </row>
    <row r="36" spans="2:26">
      <c r="B36" s="463" t="s">
        <v>343</v>
      </c>
      <c r="C36" s="464">
        <f>C17*4*C10*C29/(0.5*C27*1)</f>
        <v>1956.6111780787407</v>
      </c>
      <c r="E36" s="464">
        <f>IF($F$2="Composite only","",$E$17*4*$E$10*$E$29/(0.5*$E$27*1))</f>
        <v>2867.4717827008926</v>
      </c>
      <c r="F36" s="464" t="str">
        <f>IF(F29="tubing only","",4*F10*F29/(0.001*0.5*F21*1))</f>
        <v/>
      </c>
      <c r="G36" s="464">
        <f t="shared" si="0"/>
        <v>2867.4717827008926</v>
      </c>
      <c r="H36" s="496">
        <f t="shared" si="1"/>
        <v>146.55296948249858</v>
      </c>
    </row>
    <row r="37" spans="2:26">
      <c r="B37" s="463" t="s">
        <v>344</v>
      </c>
      <c r="C37" s="464">
        <f>IF(C17=0,"",C36*1^3/(48*C30))</f>
        <v>1.1975065616797899E-2</v>
      </c>
      <c r="E37" s="464">
        <f>IF($F$2="tubing only",$C$36*1^3/(48*$E$30),"")</f>
        <v>7.4124019980315141E-3</v>
      </c>
      <c r="F37" s="464" t="str">
        <f>IF($F$2="tubing only","",$C$36*1^3/(48*F30))</f>
        <v/>
      </c>
      <c r="G37" s="464">
        <f>$C$36*1^3/(48*G30)</f>
        <v>7.4124019980315141E-3</v>
      </c>
      <c r="H37" s="496">
        <f>100*G37/C37</f>
        <v>61.898633671233029</v>
      </c>
    </row>
    <row r="38" spans="2:26">
      <c r="B38" s="463" t="s">
        <v>345</v>
      </c>
      <c r="C38" s="464">
        <f>0.5*C36*(C36*1^3/(48*C30))</f>
        <v>11.715273622026579</v>
      </c>
      <c r="D38" s="466"/>
      <c r="E38" s="464">
        <f>IF($E$27="no tubes","",0.5*$E$36*($E$36*1^3/(48*$E$30)))</f>
        <v>15.574809534015264</v>
      </c>
      <c r="F38" s="464" t="str">
        <f>IF(F29="tubing only","",0.5*F36*(F36*1^3/(48*F30)))</f>
        <v/>
      </c>
      <c r="G38" s="464">
        <f>IF($F$2="Tubing only",E38,IF($F$2="Composite only",F38,IF($F$2="Tubes + Composite",E38+F38,"No Type Selected")))</f>
        <v>15.574809534015264</v>
      </c>
      <c r="H38" s="496">
        <f>100*G38/C38</f>
        <v>132.94447945912373</v>
      </c>
    </row>
    <row r="39" spans="2:26">
      <c r="B39" s="463" t="s">
        <v>414</v>
      </c>
      <c r="C39" s="464">
        <f>(L15+L16)*0.002*0.0015*C13</f>
        <v>492750.00000000006</v>
      </c>
      <c r="D39" s="465"/>
      <c r="E39" s="500" t="s">
        <v>111</v>
      </c>
      <c r="F39" s="464" t="str">
        <f>IF(F29="tubing only","",(L15+L16)*0.002*(F24/1000)*F13)</f>
        <v/>
      </c>
      <c r="G39" s="500" t="str">
        <f>IF(F2="tubing only","N/A",F39)</f>
        <v>N/A</v>
      </c>
      <c r="H39" s="501" t="str">
        <f>IF(F2="tubing only","NA",100*G39/C39)</f>
        <v>NA</v>
      </c>
      <c r="K39" s="162" t="s">
        <v>219</v>
      </c>
      <c r="Q39" s="162"/>
      <c r="R39" s="162"/>
      <c r="S39" s="162"/>
    </row>
    <row r="41" spans="2:26" ht="13.15">
      <c r="B41" s="433" t="s">
        <v>415</v>
      </c>
      <c r="E41" s="465"/>
    </row>
    <row r="42" spans="2:26">
      <c r="B42" s="502"/>
      <c r="C42" s="503"/>
      <c r="D42" s="503"/>
      <c r="E42" s="503"/>
      <c r="F42" s="503"/>
      <c r="G42" s="503"/>
      <c r="H42" s="503"/>
      <c r="I42" s="503"/>
      <c r="J42" s="503"/>
      <c r="K42" s="503"/>
      <c r="L42" s="503"/>
      <c r="M42" s="503"/>
      <c r="N42" s="503"/>
      <c r="O42" s="503"/>
      <c r="P42" s="503"/>
      <c r="Q42" s="503"/>
      <c r="R42" s="503"/>
      <c r="S42" s="503"/>
      <c r="T42" s="503"/>
      <c r="U42" s="503"/>
      <c r="V42" s="503"/>
      <c r="W42" s="503"/>
      <c r="X42" s="503"/>
      <c r="Y42" s="503"/>
      <c r="Z42" s="504"/>
    </row>
    <row r="43" spans="2:26">
      <c r="B43" s="505"/>
      <c r="C43" s="506"/>
      <c r="D43" s="507"/>
      <c r="E43" s="507"/>
      <c r="F43" s="507"/>
      <c r="G43" s="507"/>
      <c r="H43" s="507"/>
      <c r="I43" s="507"/>
      <c r="J43" s="507"/>
      <c r="K43" s="507"/>
      <c r="L43" s="507"/>
      <c r="M43" s="507"/>
      <c r="N43" s="507"/>
      <c r="O43" s="507"/>
      <c r="P43" s="507"/>
      <c r="Q43" s="507"/>
      <c r="R43" s="507"/>
      <c r="S43" s="507"/>
      <c r="T43" s="507"/>
      <c r="U43" s="507"/>
      <c r="V43" s="507"/>
      <c r="W43" s="507"/>
      <c r="X43" s="507"/>
      <c r="Y43" s="507"/>
      <c r="Z43" s="508"/>
    </row>
    <row r="44" spans="2:26">
      <c r="B44" s="505"/>
      <c r="C44" s="507"/>
      <c r="D44" s="507"/>
      <c r="E44" s="507"/>
      <c r="F44" s="507"/>
      <c r="G44" s="507"/>
      <c r="H44" s="507"/>
      <c r="I44" s="507"/>
      <c r="J44" s="507"/>
      <c r="K44" s="507"/>
      <c r="L44" s="507"/>
      <c r="M44" s="507"/>
      <c r="N44" s="507"/>
      <c r="O44" s="507"/>
      <c r="P44" s="507"/>
      <c r="Q44" s="507"/>
      <c r="R44" s="507"/>
      <c r="S44" s="507"/>
      <c r="T44" s="507"/>
      <c r="U44" s="507"/>
      <c r="V44" s="507"/>
      <c r="W44" s="507"/>
      <c r="X44" s="507"/>
      <c r="Y44" s="507"/>
      <c r="Z44" s="508"/>
    </row>
    <row r="45" spans="2:26">
      <c r="B45" s="505"/>
      <c r="C45" s="507"/>
      <c r="D45" s="507"/>
      <c r="E45" s="507"/>
      <c r="F45" s="507"/>
      <c r="G45" s="507"/>
      <c r="H45" s="507"/>
      <c r="I45" s="507"/>
      <c r="J45" s="507"/>
      <c r="K45" s="507"/>
      <c r="L45" s="507"/>
      <c r="M45" s="507"/>
      <c r="N45" s="507"/>
      <c r="O45" s="507"/>
      <c r="P45" s="507"/>
      <c r="Q45" s="507"/>
      <c r="R45" s="507"/>
      <c r="S45" s="507"/>
      <c r="T45" s="507"/>
      <c r="U45" s="507"/>
      <c r="V45" s="507"/>
      <c r="W45" s="507"/>
      <c r="X45" s="507"/>
      <c r="Y45" s="507"/>
      <c r="Z45" s="508"/>
    </row>
    <row r="46" spans="2:26">
      <c r="B46" s="505"/>
      <c r="C46" s="507"/>
      <c r="D46" s="507"/>
      <c r="E46" s="507"/>
      <c r="F46" s="507"/>
      <c r="G46" s="507"/>
      <c r="H46" s="507"/>
      <c r="I46" s="507"/>
      <c r="J46" s="507"/>
      <c r="K46" s="507"/>
      <c r="L46" s="507"/>
      <c r="M46" s="507"/>
      <c r="N46" s="507"/>
      <c r="O46" s="507"/>
      <c r="P46" s="507"/>
      <c r="Q46" s="507"/>
      <c r="R46" s="507"/>
      <c r="S46" s="507"/>
      <c r="T46" s="507"/>
      <c r="U46" s="507"/>
      <c r="V46" s="507"/>
      <c r="W46" s="507"/>
      <c r="X46" s="507"/>
      <c r="Y46" s="507"/>
      <c r="Z46" s="508"/>
    </row>
    <row r="47" spans="2:26">
      <c r="B47" s="505"/>
      <c r="C47" s="507"/>
      <c r="D47" s="507"/>
      <c r="E47" s="507"/>
      <c r="F47" s="507"/>
      <c r="G47" s="507"/>
      <c r="H47" s="507"/>
      <c r="I47" s="507"/>
      <c r="J47" s="507"/>
      <c r="K47" s="507"/>
      <c r="L47" s="507"/>
      <c r="M47" s="507"/>
      <c r="N47" s="507"/>
      <c r="O47" s="507"/>
      <c r="P47" s="507"/>
      <c r="Q47" s="507"/>
      <c r="R47" s="507"/>
      <c r="S47" s="507"/>
      <c r="T47" s="507"/>
      <c r="U47" s="507"/>
      <c r="V47" s="507"/>
      <c r="W47" s="507"/>
      <c r="X47" s="507"/>
      <c r="Y47" s="507"/>
      <c r="Z47" s="508"/>
    </row>
    <row r="48" spans="2:26">
      <c r="B48" s="505"/>
      <c r="C48" s="507"/>
      <c r="D48" s="507"/>
      <c r="E48" s="507"/>
      <c r="F48" s="507"/>
      <c r="G48" s="507"/>
      <c r="H48" s="507"/>
      <c r="I48" s="507"/>
      <c r="J48" s="507"/>
      <c r="K48" s="507"/>
      <c r="L48" s="507"/>
      <c r="M48" s="507"/>
      <c r="N48" s="507"/>
      <c r="O48" s="507"/>
      <c r="P48" s="507"/>
      <c r="Q48" s="507"/>
      <c r="R48" s="507"/>
      <c r="S48" s="507"/>
      <c r="T48" s="507"/>
      <c r="U48" s="507"/>
      <c r="V48" s="507"/>
      <c r="W48" s="507"/>
      <c r="X48" s="507"/>
      <c r="Y48" s="507"/>
      <c r="Z48" s="508"/>
    </row>
    <row r="49" spans="2:26">
      <c r="B49" s="505"/>
      <c r="C49" s="507"/>
      <c r="D49" s="507"/>
      <c r="E49" s="507"/>
      <c r="F49" s="507"/>
      <c r="G49" s="507"/>
      <c r="H49" s="507"/>
      <c r="I49" s="507"/>
      <c r="J49" s="507"/>
      <c r="K49" s="507"/>
      <c r="L49" s="507"/>
      <c r="M49" s="507"/>
      <c r="N49" s="507"/>
      <c r="O49" s="507"/>
      <c r="P49" s="507"/>
      <c r="Q49" s="507"/>
      <c r="R49" s="507"/>
      <c r="S49" s="507"/>
      <c r="T49" s="507"/>
      <c r="U49" s="507"/>
      <c r="V49" s="507"/>
      <c r="W49" s="507"/>
      <c r="X49" s="507"/>
      <c r="Y49" s="507"/>
      <c r="Z49" s="508"/>
    </row>
    <row r="50" spans="2:26">
      <c r="B50" s="505"/>
      <c r="C50" s="507"/>
      <c r="D50" s="507"/>
      <c r="E50" s="507"/>
      <c r="F50" s="507"/>
      <c r="G50" s="507"/>
      <c r="H50" s="507"/>
      <c r="I50" s="507"/>
      <c r="J50" s="507"/>
      <c r="K50" s="507"/>
      <c r="L50" s="507"/>
      <c r="M50" s="507"/>
      <c r="N50" s="507"/>
      <c r="O50" s="507"/>
      <c r="P50" s="507"/>
      <c r="Q50" s="507"/>
      <c r="R50" s="507"/>
      <c r="S50" s="507"/>
      <c r="T50" s="507"/>
      <c r="U50" s="507"/>
      <c r="V50" s="507"/>
      <c r="W50" s="507"/>
      <c r="X50" s="507"/>
      <c r="Y50" s="507"/>
      <c r="Z50" s="508"/>
    </row>
    <row r="51" spans="2:26">
      <c r="B51" s="505"/>
      <c r="C51" s="507"/>
      <c r="D51" s="507"/>
      <c r="E51" s="507"/>
      <c r="F51" s="507"/>
      <c r="G51" s="507"/>
      <c r="H51" s="507"/>
      <c r="I51" s="507"/>
      <c r="J51" s="507"/>
      <c r="K51" s="507"/>
      <c r="L51" s="507"/>
      <c r="M51" s="507"/>
      <c r="N51" s="507"/>
      <c r="O51" s="507"/>
      <c r="P51" s="507"/>
      <c r="Q51" s="507"/>
      <c r="R51" s="507"/>
      <c r="S51" s="507"/>
      <c r="T51" s="507"/>
      <c r="U51" s="507"/>
      <c r="V51" s="507"/>
      <c r="W51" s="507"/>
      <c r="X51" s="507"/>
      <c r="Y51" s="507"/>
      <c r="Z51" s="508"/>
    </row>
    <row r="52" spans="2:26">
      <c r="B52" s="505"/>
      <c r="C52" s="507"/>
      <c r="D52" s="507"/>
      <c r="E52" s="507"/>
      <c r="F52" s="507"/>
      <c r="G52" s="507"/>
      <c r="H52" s="507"/>
      <c r="I52" s="507"/>
      <c r="J52" s="507"/>
      <c r="K52" s="507"/>
      <c r="L52" s="507"/>
      <c r="M52" s="507"/>
      <c r="N52" s="507"/>
      <c r="O52" s="507"/>
      <c r="P52" s="507"/>
      <c r="Q52" s="507"/>
      <c r="R52" s="507"/>
      <c r="S52" s="507"/>
      <c r="T52" s="507"/>
      <c r="U52" s="507"/>
      <c r="V52" s="507"/>
      <c r="W52" s="507"/>
      <c r="X52" s="507"/>
      <c r="Y52" s="507"/>
      <c r="Z52" s="508"/>
    </row>
    <row r="53" spans="2:26">
      <c r="B53" s="505"/>
      <c r="C53" s="507"/>
      <c r="D53" s="507"/>
      <c r="E53" s="507"/>
      <c r="F53" s="507"/>
      <c r="G53" s="507"/>
      <c r="H53" s="507"/>
      <c r="I53" s="507"/>
      <c r="J53" s="507"/>
      <c r="K53" s="507"/>
      <c r="L53" s="507"/>
      <c r="M53" s="507"/>
      <c r="N53" s="507"/>
      <c r="O53" s="507"/>
      <c r="P53" s="507"/>
      <c r="Q53" s="507"/>
      <c r="R53" s="507"/>
      <c r="S53" s="507"/>
      <c r="T53" s="507"/>
      <c r="U53" s="507"/>
      <c r="V53" s="507"/>
      <c r="W53" s="507"/>
      <c r="X53" s="507"/>
      <c r="Y53" s="507"/>
      <c r="Z53" s="508"/>
    </row>
    <row r="54" spans="2:26">
      <c r="B54" s="505"/>
      <c r="C54" s="507"/>
      <c r="D54" s="507"/>
      <c r="E54" s="507"/>
      <c r="F54" s="507"/>
      <c r="G54" s="507"/>
      <c r="H54" s="507"/>
      <c r="I54" s="507"/>
      <c r="J54" s="507"/>
      <c r="K54" s="507"/>
      <c r="L54" s="507"/>
      <c r="M54" s="507"/>
      <c r="N54" s="507"/>
      <c r="O54" s="507"/>
      <c r="P54" s="507"/>
      <c r="Q54" s="507"/>
      <c r="R54" s="507"/>
      <c r="S54" s="507"/>
      <c r="T54" s="507"/>
      <c r="U54" s="507"/>
      <c r="V54" s="507"/>
      <c r="W54" s="507"/>
      <c r="X54" s="507"/>
      <c r="Y54" s="507"/>
      <c r="Z54" s="508"/>
    </row>
    <row r="55" spans="2:26">
      <c r="B55" s="505"/>
      <c r="C55" s="507"/>
      <c r="D55" s="507"/>
      <c r="E55" s="507"/>
      <c r="F55" s="507"/>
      <c r="G55" s="507"/>
      <c r="H55" s="507"/>
      <c r="I55" s="507"/>
      <c r="J55" s="507"/>
      <c r="K55" s="507"/>
      <c r="L55" s="507"/>
      <c r="M55" s="507"/>
      <c r="N55" s="507"/>
      <c r="O55" s="507"/>
      <c r="P55" s="507"/>
      <c r="Q55" s="507"/>
      <c r="R55" s="507"/>
      <c r="S55" s="507"/>
      <c r="T55" s="507"/>
      <c r="U55" s="507"/>
      <c r="V55" s="507"/>
      <c r="W55" s="507"/>
      <c r="X55" s="507"/>
      <c r="Y55" s="507"/>
      <c r="Z55" s="508"/>
    </row>
    <row r="56" spans="2:26">
      <c r="B56" s="505"/>
      <c r="C56" s="507"/>
      <c r="D56" s="507"/>
      <c r="E56" s="507"/>
      <c r="F56" s="507"/>
      <c r="G56" s="507"/>
      <c r="H56" s="507"/>
      <c r="I56" s="507"/>
      <c r="J56" s="507"/>
      <c r="K56" s="507"/>
      <c r="L56" s="507"/>
      <c r="M56" s="507"/>
      <c r="N56" s="507"/>
      <c r="O56" s="507"/>
      <c r="P56" s="507"/>
      <c r="Q56" s="507"/>
      <c r="R56" s="507"/>
      <c r="S56" s="507"/>
      <c r="T56" s="507"/>
      <c r="U56" s="507"/>
      <c r="V56" s="507"/>
      <c r="W56" s="507"/>
      <c r="X56" s="507"/>
      <c r="Y56" s="507"/>
      <c r="Z56" s="508"/>
    </row>
    <row r="57" spans="2:26">
      <c r="B57" s="505"/>
      <c r="C57" s="507"/>
      <c r="D57" s="507"/>
      <c r="E57" s="507"/>
      <c r="F57" s="507"/>
      <c r="G57" s="507"/>
      <c r="H57" s="507"/>
      <c r="I57" s="507"/>
      <c r="J57" s="507"/>
      <c r="K57" s="507"/>
      <c r="L57" s="507"/>
      <c r="M57" s="507"/>
      <c r="N57" s="507"/>
      <c r="O57" s="507"/>
      <c r="P57" s="507"/>
      <c r="Q57" s="507"/>
      <c r="R57" s="507"/>
      <c r="S57" s="507"/>
      <c r="T57" s="507"/>
      <c r="U57" s="507"/>
      <c r="V57" s="507"/>
      <c r="W57" s="507"/>
      <c r="X57" s="507"/>
      <c r="Y57" s="507"/>
      <c r="Z57" s="508"/>
    </row>
    <row r="58" spans="2:26">
      <c r="B58" s="505"/>
      <c r="C58" s="507"/>
      <c r="D58" s="507"/>
      <c r="E58" s="507"/>
      <c r="F58" s="507"/>
      <c r="G58" s="507"/>
      <c r="H58" s="507"/>
      <c r="I58" s="507"/>
      <c r="J58" s="507"/>
      <c r="K58" s="507"/>
      <c r="L58" s="507"/>
      <c r="M58" s="507"/>
      <c r="N58" s="507"/>
      <c r="O58" s="507"/>
      <c r="P58" s="507"/>
      <c r="Q58" s="507"/>
      <c r="R58" s="507"/>
      <c r="S58" s="507"/>
      <c r="T58" s="507"/>
      <c r="U58" s="507"/>
      <c r="V58" s="507"/>
      <c r="W58" s="507"/>
      <c r="X58" s="507"/>
      <c r="Y58" s="507"/>
      <c r="Z58" s="508"/>
    </row>
    <row r="59" spans="2:26">
      <c r="B59" s="505"/>
      <c r="C59" s="507"/>
      <c r="D59" s="507"/>
      <c r="E59" s="507"/>
      <c r="F59" s="507"/>
      <c r="G59" s="507"/>
      <c r="H59" s="507"/>
      <c r="I59" s="507"/>
      <c r="J59" s="507"/>
      <c r="K59" s="507"/>
      <c r="L59" s="507"/>
      <c r="M59" s="507"/>
      <c r="N59" s="507"/>
      <c r="O59" s="507"/>
      <c r="P59" s="507"/>
      <c r="Q59" s="507"/>
      <c r="R59" s="507"/>
      <c r="S59" s="507"/>
      <c r="T59" s="507"/>
      <c r="U59" s="507"/>
      <c r="V59" s="507"/>
      <c r="W59" s="507"/>
      <c r="X59" s="507"/>
      <c r="Y59" s="507"/>
      <c r="Z59" s="508"/>
    </row>
    <row r="60" spans="2:26">
      <c r="B60" s="505"/>
      <c r="C60" s="507"/>
      <c r="D60" s="507"/>
      <c r="E60" s="507"/>
      <c r="F60" s="507"/>
      <c r="G60" s="507"/>
      <c r="H60" s="507"/>
      <c r="I60" s="507"/>
      <c r="J60" s="507"/>
      <c r="K60" s="507"/>
      <c r="L60" s="507"/>
      <c r="M60" s="507"/>
      <c r="N60" s="507"/>
      <c r="O60" s="507"/>
      <c r="P60" s="507"/>
      <c r="Q60" s="507"/>
      <c r="R60" s="507"/>
      <c r="S60" s="507"/>
      <c r="T60" s="507"/>
      <c r="U60" s="507"/>
      <c r="V60" s="507"/>
      <c r="W60" s="507"/>
      <c r="X60" s="507"/>
      <c r="Y60" s="507"/>
      <c r="Z60" s="508"/>
    </row>
    <row r="61" spans="2:26">
      <c r="B61" s="505"/>
      <c r="C61" s="507"/>
      <c r="D61" s="507"/>
      <c r="E61" s="507"/>
      <c r="F61" s="507"/>
      <c r="G61" s="507"/>
      <c r="H61" s="507"/>
      <c r="I61" s="507"/>
      <c r="J61" s="507"/>
      <c r="K61" s="507"/>
      <c r="L61" s="507"/>
      <c r="M61" s="507"/>
      <c r="N61" s="507"/>
      <c r="O61" s="507"/>
      <c r="P61" s="507"/>
      <c r="Q61" s="507"/>
      <c r="R61" s="507"/>
      <c r="S61" s="507"/>
      <c r="T61" s="507"/>
      <c r="U61" s="507"/>
      <c r="V61" s="507"/>
      <c r="W61" s="507"/>
      <c r="X61" s="507"/>
      <c r="Y61" s="507"/>
      <c r="Z61" s="508"/>
    </row>
    <row r="62" spans="2:26">
      <c r="B62" s="505"/>
      <c r="C62" s="507"/>
      <c r="D62" s="507"/>
      <c r="E62" s="507"/>
      <c r="F62" s="507"/>
      <c r="G62" s="507"/>
      <c r="H62" s="507"/>
      <c r="I62" s="507"/>
      <c r="J62" s="507"/>
      <c r="K62" s="507"/>
      <c r="L62" s="507"/>
      <c r="M62" s="507"/>
      <c r="N62" s="507"/>
      <c r="O62" s="507"/>
      <c r="P62" s="507"/>
      <c r="Q62" s="507"/>
      <c r="R62" s="507"/>
      <c r="S62" s="507"/>
      <c r="T62" s="507"/>
      <c r="U62" s="507"/>
      <c r="V62" s="507"/>
      <c r="W62" s="507"/>
      <c r="X62" s="507"/>
      <c r="Y62" s="507"/>
      <c r="Z62" s="508"/>
    </row>
    <row r="63" spans="2:26">
      <c r="B63" s="505"/>
      <c r="C63" s="507"/>
      <c r="D63" s="507"/>
      <c r="E63" s="507"/>
      <c r="F63" s="507"/>
      <c r="G63" s="507"/>
      <c r="H63" s="507"/>
      <c r="I63" s="507"/>
      <c r="J63" s="507"/>
      <c r="K63" s="507"/>
      <c r="L63" s="507"/>
      <c r="M63" s="507"/>
      <c r="N63" s="507"/>
      <c r="O63" s="507"/>
      <c r="P63" s="507"/>
      <c r="Q63" s="507"/>
      <c r="R63" s="507"/>
      <c r="S63" s="507"/>
      <c r="T63" s="507"/>
      <c r="U63" s="507"/>
      <c r="V63" s="507"/>
      <c r="W63" s="507"/>
      <c r="X63" s="507"/>
      <c r="Y63" s="507"/>
      <c r="Z63" s="508"/>
    </row>
    <row r="64" spans="2:26">
      <c r="B64" s="505"/>
      <c r="C64" s="507"/>
      <c r="D64" s="507"/>
      <c r="E64" s="507"/>
      <c r="F64" s="507"/>
      <c r="G64" s="507"/>
      <c r="H64" s="507"/>
      <c r="I64" s="507"/>
      <c r="J64" s="507"/>
      <c r="K64" s="507"/>
      <c r="L64" s="507"/>
      <c r="M64" s="507"/>
      <c r="N64" s="507"/>
      <c r="O64" s="507"/>
      <c r="P64" s="507"/>
      <c r="Q64" s="507"/>
      <c r="R64" s="507"/>
      <c r="S64" s="507"/>
      <c r="T64" s="507"/>
      <c r="U64" s="507"/>
      <c r="V64" s="507"/>
      <c r="W64" s="507"/>
      <c r="X64" s="507"/>
      <c r="Y64" s="507"/>
      <c r="Z64" s="508"/>
    </row>
    <row r="65" spans="2:26">
      <c r="B65" s="505"/>
      <c r="C65" s="507"/>
      <c r="D65" s="507"/>
      <c r="E65" s="507"/>
      <c r="F65" s="507"/>
      <c r="G65" s="507"/>
      <c r="H65" s="507"/>
      <c r="I65" s="507"/>
      <c r="J65" s="507"/>
      <c r="K65" s="507"/>
      <c r="L65" s="507"/>
      <c r="M65" s="507"/>
      <c r="N65" s="507"/>
      <c r="O65" s="507"/>
      <c r="P65" s="507"/>
      <c r="Q65" s="507"/>
      <c r="R65" s="507"/>
      <c r="S65" s="507"/>
      <c r="T65" s="507"/>
      <c r="U65" s="507"/>
      <c r="V65" s="507"/>
      <c r="W65" s="507"/>
      <c r="X65" s="507"/>
      <c r="Y65" s="507"/>
      <c r="Z65" s="508"/>
    </row>
    <row r="66" spans="2:26">
      <c r="B66" s="505"/>
      <c r="C66" s="507"/>
      <c r="D66" s="507"/>
      <c r="E66" s="507"/>
      <c r="F66" s="507"/>
      <c r="G66" s="507"/>
      <c r="H66" s="507"/>
      <c r="I66" s="507"/>
      <c r="J66" s="507"/>
      <c r="K66" s="507"/>
      <c r="L66" s="507"/>
      <c r="M66" s="507"/>
      <c r="N66" s="507"/>
      <c r="O66" s="507"/>
      <c r="P66" s="507"/>
      <c r="Q66" s="507"/>
      <c r="R66" s="507"/>
      <c r="S66" s="507"/>
      <c r="T66" s="507"/>
      <c r="U66" s="507"/>
      <c r="V66" s="507"/>
      <c r="W66" s="507"/>
      <c r="X66" s="507"/>
      <c r="Y66" s="507"/>
      <c r="Z66" s="508"/>
    </row>
    <row r="67" spans="2:26">
      <c r="B67" s="505"/>
      <c r="C67" s="507"/>
      <c r="D67" s="507"/>
      <c r="E67" s="507"/>
      <c r="F67" s="507"/>
      <c r="G67" s="507"/>
      <c r="H67" s="507"/>
      <c r="I67" s="507"/>
      <c r="J67" s="507"/>
      <c r="K67" s="507"/>
      <c r="L67" s="507"/>
      <c r="M67" s="507"/>
      <c r="N67" s="507"/>
      <c r="O67" s="507"/>
      <c r="P67" s="507"/>
      <c r="Q67" s="507"/>
      <c r="R67" s="507"/>
      <c r="S67" s="507"/>
      <c r="T67" s="507"/>
      <c r="U67" s="507"/>
      <c r="V67" s="507"/>
      <c r="W67" s="507"/>
      <c r="X67" s="507"/>
      <c r="Y67" s="507"/>
      <c r="Z67" s="508"/>
    </row>
    <row r="68" spans="2:26">
      <c r="B68" s="505"/>
      <c r="C68" s="507"/>
      <c r="D68" s="507"/>
      <c r="E68" s="507"/>
      <c r="F68" s="507"/>
      <c r="G68" s="507"/>
      <c r="H68" s="507"/>
      <c r="I68" s="507"/>
      <c r="J68" s="507"/>
      <c r="K68" s="507"/>
      <c r="L68" s="507"/>
      <c r="M68" s="507"/>
      <c r="N68" s="507"/>
      <c r="O68" s="507"/>
      <c r="P68" s="507"/>
      <c r="Q68" s="507"/>
      <c r="R68" s="507"/>
      <c r="S68" s="507"/>
      <c r="T68" s="507"/>
      <c r="U68" s="507"/>
      <c r="V68" s="507"/>
      <c r="W68" s="507"/>
      <c r="X68" s="507"/>
      <c r="Y68" s="507"/>
      <c r="Z68" s="508"/>
    </row>
    <row r="69" spans="2:26">
      <c r="B69" s="505"/>
      <c r="C69" s="507"/>
      <c r="D69" s="507"/>
      <c r="E69" s="507"/>
      <c r="F69" s="507"/>
      <c r="G69" s="507"/>
      <c r="H69" s="507"/>
      <c r="I69" s="507"/>
      <c r="J69" s="507"/>
      <c r="K69" s="507"/>
      <c r="L69" s="507"/>
      <c r="M69" s="507"/>
      <c r="N69" s="507"/>
      <c r="O69" s="507"/>
      <c r="P69" s="507"/>
      <c r="Q69" s="507"/>
      <c r="R69" s="507"/>
      <c r="S69" s="507"/>
      <c r="T69" s="507"/>
      <c r="U69" s="507"/>
      <c r="V69" s="507"/>
      <c r="W69" s="507"/>
      <c r="X69" s="507"/>
      <c r="Y69" s="507"/>
      <c r="Z69" s="508"/>
    </row>
    <row r="70" spans="2:26">
      <c r="B70" s="505"/>
      <c r="C70" s="507"/>
      <c r="D70" s="507"/>
      <c r="E70" s="507"/>
      <c r="F70" s="507"/>
      <c r="G70" s="507"/>
      <c r="H70" s="507"/>
      <c r="I70" s="507"/>
      <c r="J70" s="507"/>
      <c r="K70" s="507"/>
      <c r="L70" s="507"/>
      <c r="M70" s="507"/>
      <c r="N70" s="507"/>
      <c r="O70" s="507"/>
      <c r="P70" s="507"/>
      <c r="Q70" s="507"/>
      <c r="R70" s="507"/>
      <c r="S70" s="507"/>
      <c r="T70" s="507"/>
      <c r="U70" s="507"/>
      <c r="V70" s="507"/>
      <c r="W70" s="507"/>
      <c r="X70" s="507"/>
      <c r="Y70" s="507"/>
      <c r="Z70" s="508"/>
    </row>
    <row r="71" spans="2:26">
      <c r="B71" s="505"/>
      <c r="C71" s="507"/>
      <c r="D71" s="507"/>
      <c r="E71" s="507"/>
      <c r="F71" s="507"/>
      <c r="G71" s="507"/>
      <c r="H71" s="507"/>
      <c r="I71" s="507"/>
      <c r="J71" s="507"/>
      <c r="K71" s="507"/>
      <c r="L71" s="507"/>
      <c r="M71" s="507"/>
      <c r="N71" s="507"/>
      <c r="O71" s="507"/>
      <c r="P71" s="507"/>
      <c r="Q71" s="507"/>
      <c r="R71" s="507"/>
      <c r="S71" s="507"/>
      <c r="T71" s="507"/>
      <c r="U71" s="507"/>
      <c r="V71" s="507"/>
      <c r="W71" s="507"/>
      <c r="X71" s="507"/>
      <c r="Y71" s="507"/>
      <c r="Z71" s="508"/>
    </row>
    <row r="72" spans="2:26">
      <c r="B72" s="505"/>
      <c r="C72" s="507"/>
      <c r="D72" s="507"/>
      <c r="E72" s="507"/>
      <c r="F72" s="507"/>
      <c r="G72" s="507"/>
      <c r="H72" s="507"/>
      <c r="I72" s="507"/>
      <c r="J72" s="507"/>
      <c r="K72" s="507"/>
      <c r="L72" s="507"/>
      <c r="M72" s="507"/>
      <c r="N72" s="507"/>
      <c r="O72" s="507"/>
      <c r="P72" s="507"/>
      <c r="Q72" s="507"/>
      <c r="R72" s="507"/>
      <c r="S72" s="507"/>
      <c r="T72" s="507"/>
      <c r="U72" s="507"/>
      <c r="V72" s="507"/>
      <c r="W72" s="507"/>
      <c r="X72" s="507"/>
      <c r="Y72" s="507"/>
      <c r="Z72" s="508"/>
    </row>
    <row r="73" spans="2:26">
      <c r="B73" s="505"/>
      <c r="C73" s="507"/>
      <c r="D73" s="507"/>
      <c r="E73" s="507"/>
      <c r="F73" s="507"/>
      <c r="G73" s="507"/>
      <c r="H73" s="507"/>
      <c r="I73" s="507"/>
      <c r="J73" s="507"/>
      <c r="K73" s="507"/>
      <c r="L73" s="507"/>
      <c r="M73" s="507"/>
      <c r="N73" s="507"/>
      <c r="O73" s="507"/>
      <c r="P73" s="507"/>
      <c r="Q73" s="507"/>
      <c r="R73" s="507"/>
      <c r="S73" s="507"/>
      <c r="T73" s="507"/>
      <c r="U73" s="507"/>
      <c r="V73" s="507"/>
      <c r="W73" s="507"/>
      <c r="X73" s="507"/>
      <c r="Y73" s="507"/>
      <c r="Z73" s="508"/>
    </row>
    <row r="74" spans="2:26">
      <c r="B74" s="505"/>
      <c r="C74" s="507"/>
      <c r="D74" s="507"/>
      <c r="E74" s="507"/>
      <c r="F74" s="507"/>
      <c r="G74" s="507"/>
      <c r="H74" s="507"/>
      <c r="I74" s="507"/>
      <c r="J74" s="507"/>
      <c r="K74" s="507"/>
      <c r="L74" s="507"/>
      <c r="M74" s="507"/>
      <c r="N74" s="507"/>
      <c r="O74" s="507"/>
      <c r="P74" s="507"/>
      <c r="Q74" s="507"/>
      <c r="R74" s="507"/>
      <c r="S74" s="507"/>
      <c r="T74" s="507"/>
      <c r="U74" s="507"/>
      <c r="V74" s="507"/>
      <c r="W74" s="507"/>
      <c r="X74" s="507"/>
      <c r="Y74" s="507"/>
      <c r="Z74" s="508"/>
    </row>
    <row r="75" spans="2:26">
      <c r="B75" s="505"/>
      <c r="C75" s="507"/>
      <c r="D75" s="507"/>
      <c r="E75" s="507"/>
      <c r="F75" s="507"/>
      <c r="G75" s="507"/>
      <c r="H75" s="507"/>
      <c r="I75" s="507"/>
      <c r="J75" s="507"/>
      <c r="K75" s="507"/>
      <c r="L75" s="507"/>
      <c r="M75" s="507"/>
      <c r="N75" s="507"/>
      <c r="O75" s="507"/>
      <c r="P75" s="507"/>
      <c r="Q75" s="507"/>
      <c r="R75" s="507"/>
      <c r="S75" s="507"/>
      <c r="T75" s="507"/>
      <c r="U75" s="507"/>
      <c r="V75" s="507"/>
      <c r="W75" s="507"/>
      <c r="X75" s="507"/>
      <c r="Y75" s="507"/>
      <c r="Z75" s="508"/>
    </row>
    <row r="76" spans="2:26">
      <c r="B76" s="505"/>
      <c r="C76" s="507"/>
      <c r="D76" s="507"/>
      <c r="E76" s="507"/>
      <c r="F76" s="507"/>
      <c r="G76" s="507"/>
      <c r="H76" s="507"/>
      <c r="I76" s="507"/>
      <c r="J76" s="507"/>
      <c r="K76" s="507"/>
      <c r="L76" s="507"/>
      <c r="M76" s="507"/>
      <c r="N76" s="507"/>
      <c r="O76" s="507"/>
      <c r="P76" s="507"/>
      <c r="Q76" s="507"/>
      <c r="R76" s="507"/>
      <c r="S76" s="507"/>
      <c r="T76" s="507"/>
      <c r="U76" s="507"/>
      <c r="V76" s="507"/>
      <c r="W76" s="507"/>
      <c r="X76" s="507"/>
      <c r="Y76" s="507"/>
      <c r="Z76" s="508"/>
    </row>
    <row r="77" spans="2:26">
      <c r="B77" s="505"/>
      <c r="C77" s="507"/>
      <c r="D77" s="507"/>
      <c r="E77" s="507"/>
      <c r="F77" s="507"/>
      <c r="G77" s="507"/>
      <c r="H77" s="507"/>
      <c r="I77" s="507"/>
      <c r="J77" s="507"/>
      <c r="K77" s="507"/>
      <c r="L77" s="507"/>
      <c r="M77" s="507"/>
      <c r="N77" s="507"/>
      <c r="O77" s="507"/>
      <c r="P77" s="507"/>
      <c r="Q77" s="507"/>
      <c r="R77" s="507"/>
      <c r="S77" s="507"/>
      <c r="T77" s="507"/>
      <c r="U77" s="507"/>
      <c r="V77" s="507"/>
      <c r="W77" s="507"/>
      <c r="X77" s="507"/>
      <c r="Y77" s="507"/>
      <c r="Z77" s="508"/>
    </row>
    <row r="78" spans="2:26">
      <c r="B78" s="505"/>
      <c r="C78" s="507"/>
      <c r="D78" s="507"/>
      <c r="E78" s="507"/>
      <c r="F78" s="507"/>
      <c r="G78" s="507"/>
      <c r="H78" s="507"/>
      <c r="I78" s="507"/>
      <c r="J78" s="507"/>
      <c r="K78" s="507"/>
      <c r="L78" s="507"/>
      <c r="M78" s="507"/>
      <c r="N78" s="507"/>
      <c r="O78" s="507"/>
      <c r="P78" s="507"/>
      <c r="Q78" s="507"/>
      <c r="R78" s="507"/>
      <c r="S78" s="507"/>
      <c r="T78" s="507"/>
      <c r="U78" s="507"/>
      <c r="V78" s="507"/>
      <c r="W78" s="507"/>
      <c r="X78" s="507"/>
      <c r="Y78" s="507"/>
      <c r="Z78" s="508"/>
    </row>
    <row r="79" spans="2:26">
      <c r="B79" s="505"/>
      <c r="C79" s="507"/>
      <c r="D79" s="507"/>
      <c r="E79" s="507"/>
      <c r="F79" s="507"/>
      <c r="G79" s="507"/>
      <c r="H79" s="507"/>
      <c r="I79" s="507"/>
      <c r="J79" s="507"/>
      <c r="K79" s="507"/>
      <c r="L79" s="507"/>
      <c r="M79" s="507"/>
      <c r="N79" s="507"/>
      <c r="O79" s="507"/>
      <c r="P79" s="507"/>
      <c r="Q79" s="507"/>
      <c r="R79" s="507"/>
      <c r="S79" s="507"/>
      <c r="T79" s="507"/>
      <c r="U79" s="507"/>
      <c r="V79" s="507"/>
      <c r="W79" s="507"/>
      <c r="X79" s="507"/>
      <c r="Y79" s="507"/>
      <c r="Z79" s="508"/>
    </row>
    <row r="80" spans="2:26">
      <c r="B80" s="505"/>
      <c r="C80" s="507"/>
      <c r="D80" s="507"/>
      <c r="E80" s="507"/>
      <c r="F80" s="507"/>
      <c r="G80" s="507"/>
      <c r="H80" s="507"/>
      <c r="I80" s="507"/>
      <c r="J80" s="507"/>
      <c r="K80" s="507"/>
      <c r="L80" s="507"/>
      <c r="M80" s="507"/>
      <c r="N80" s="507"/>
      <c r="O80" s="507"/>
      <c r="P80" s="507"/>
      <c r="Q80" s="507"/>
      <c r="R80" s="507"/>
      <c r="S80" s="507"/>
      <c r="T80" s="507"/>
      <c r="U80" s="507"/>
      <c r="V80" s="507"/>
      <c r="W80" s="507"/>
      <c r="X80" s="507"/>
      <c r="Y80" s="507"/>
      <c r="Z80" s="508"/>
    </row>
    <row r="81" spans="2:26">
      <c r="B81" s="505"/>
      <c r="C81" s="507"/>
      <c r="D81" s="507"/>
      <c r="E81" s="507"/>
      <c r="F81" s="507"/>
      <c r="G81" s="507"/>
      <c r="H81" s="507"/>
      <c r="I81" s="507"/>
      <c r="J81" s="507"/>
      <c r="K81" s="507"/>
      <c r="L81" s="507"/>
      <c r="M81" s="507"/>
      <c r="N81" s="507"/>
      <c r="O81" s="507"/>
      <c r="P81" s="507"/>
      <c r="Q81" s="507"/>
      <c r="R81" s="507"/>
      <c r="S81" s="507"/>
      <c r="T81" s="507"/>
      <c r="U81" s="507"/>
      <c r="V81" s="507"/>
      <c r="W81" s="507"/>
      <c r="X81" s="507"/>
      <c r="Y81" s="507"/>
      <c r="Z81" s="508"/>
    </row>
    <row r="82" spans="2:26">
      <c r="B82" s="505"/>
      <c r="C82" s="507"/>
      <c r="D82" s="507"/>
      <c r="E82" s="507"/>
      <c r="F82" s="507"/>
      <c r="G82" s="507"/>
      <c r="H82" s="507"/>
      <c r="I82" s="507"/>
      <c r="J82" s="507"/>
      <c r="K82" s="507"/>
      <c r="L82" s="507"/>
      <c r="M82" s="507"/>
      <c r="N82" s="507"/>
      <c r="O82" s="507"/>
      <c r="P82" s="507"/>
      <c r="Q82" s="507"/>
      <c r="R82" s="507"/>
      <c r="S82" s="507"/>
      <c r="T82" s="507"/>
      <c r="U82" s="507"/>
      <c r="V82" s="507"/>
      <c r="W82" s="507"/>
      <c r="X82" s="507"/>
      <c r="Y82" s="507"/>
      <c r="Z82" s="508"/>
    </row>
    <row r="83" spans="2:26">
      <c r="B83" s="505"/>
      <c r="C83" s="507"/>
      <c r="D83" s="507"/>
      <c r="E83" s="507"/>
      <c r="F83" s="507"/>
      <c r="G83" s="507"/>
      <c r="H83" s="507"/>
      <c r="I83" s="507"/>
      <c r="J83" s="507"/>
      <c r="K83" s="507"/>
      <c r="L83" s="507"/>
      <c r="M83" s="507"/>
      <c r="N83" s="507"/>
      <c r="O83" s="507"/>
      <c r="P83" s="507"/>
      <c r="Q83" s="507"/>
      <c r="R83" s="507"/>
      <c r="S83" s="507"/>
      <c r="T83" s="507"/>
      <c r="U83" s="507"/>
      <c r="V83" s="507"/>
      <c r="W83" s="507"/>
      <c r="X83" s="507"/>
      <c r="Y83" s="507"/>
      <c r="Z83" s="508"/>
    </row>
    <row r="84" spans="2:26">
      <c r="B84" s="505"/>
      <c r="C84" s="507"/>
      <c r="D84" s="507"/>
      <c r="E84" s="507"/>
      <c r="F84" s="507"/>
      <c r="G84" s="507"/>
      <c r="H84" s="507"/>
      <c r="I84" s="507"/>
      <c r="J84" s="507"/>
      <c r="K84" s="507"/>
      <c r="L84" s="507"/>
      <c r="M84" s="507"/>
      <c r="N84" s="507"/>
      <c r="O84" s="507"/>
      <c r="P84" s="507"/>
      <c r="Q84" s="507"/>
      <c r="R84" s="507"/>
      <c r="S84" s="507"/>
      <c r="T84" s="507"/>
      <c r="U84" s="507"/>
      <c r="V84" s="507"/>
      <c r="W84" s="507"/>
      <c r="X84" s="507"/>
      <c r="Y84" s="507"/>
      <c r="Z84" s="508"/>
    </row>
    <row r="85" spans="2:26">
      <c r="B85" s="505"/>
      <c r="C85" s="507"/>
      <c r="D85" s="507"/>
      <c r="E85" s="507"/>
      <c r="F85" s="507"/>
      <c r="G85" s="507"/>
      <c r="H85" s="507"/>
      <c r="I85" s="507"/>
      <c r="J85" s="507"/>
      <c r="K85" s="507"/>
      <c r="L85" s="507"/>
      <c r="M85" s="507"/>
      <c r="N85" s="507"/>
      <c r="O85" s="507"/>
      <c r="P85" s="507"/>
      <c r="Q85" s="507"/>
      <c r="R85" s="507"/>
      <c r="S85" s="507"/>
      <c r="T85" s="507"/>
      <c r="U85" s="507"/>
      <c r="V85" s="507"/>
      <c r="W85" s="507"/>
      <c r="X85" s="507"/>
      <c r="Y85" s="507"/>
      <c r="Z85" s="508"/>
    </row>
    <row r="86" spans="2:26">
      <c r="B86" s="505"/>
      <c r="C86" s="507"/>
      <c r="D86" s="507"/>
      <c r="E86" s="507"/>
      <c r="F86" s="507"/>
      <c r="G86" s="507"/>
      <c r="H86" s="507"/>
      <c r="I86" s="507"/>
      <c r="J86" s="507"/>
      <c r="K86" s="507"/>
      <c r="L86" s="507"/>
      <c r="M86" s="507"/>
      <c r="N86" s="507"/>
      <c r="O86" s="507"/>
      <c r="P86" s="507"/>
      <c r="Q86" s="507"/>
      <c r="R86" s="507"/>
      <c r="S86" s="507"/>
      <c r="T86" s="507"/>
      <c r="U86" s="507"/>
      <c r="V86" s="507"/>
      <c r="W86" s="507"/>
      <c r="X86" s="507"/>
      <c r="Y86" s="507"/>
      <c r="Z86" s="508"/>
    </row>
    <row r="87" spans="2:26">
      <c r="B87" s="505"/>
      <c r="C87" s="507"/>
      <c r="D87" s="507"/>
      <c r="E87" s="507"/>
      <c r="F87" s="507"/>
      <c r="G87" s="507"/>
      <c r="H87" s="507"/>
      <c r="I87" s="507"/>
      <c r="J87" s="507"/>
      <c r="K87" s="507"/>
      <c r="L87" s="507"/>
      <c r="M87" s="507"/>
      <c r="N87" s="507"/>
      <c r="O87" s="507"/>
      <c r="P87" s="507"/>
      <c r="Q87" s="507"/>
      <c r="R87" s="507"/>
      <c r="S87" s="507"/>
      <c r="T87" s="507"/>
      <c r="U87" s="507"/>
      <c r="V87" s="507"/>
      <c r="W87" s="507"/>
      <c r="X87" s="507"/>
      <c r="Y87" s="507"/>
      <c r="Z87" s="508"/>
    </row>
    <row r="88" spans="2:26">
      <c r="B88" s="505"/>
      <c r="C88" s="507"/>
      <c r="D88" s="507"/>
      <c r="E88" s="507"/>
      <c r="F88" s="507"/>
      <c r="G88" s="507"/>
      <c r="H88" s="507"/>
      <c r="I88" s="507"/>
      <c r="J88" s="507"/>
      <c r="K88" s="507"/>
      <c r="L88" s="507"/>
      <c r="M88" s="507"/>
      <c r="N88" s="507"/>
      <c r="O88" s="507"/>
      <c r="P88" s="507"/>
      <c r="Q88" s="507"/>
      <c r="R88" s="507"/>
      <c r="S88" s="507"/>
      <c r="T88" s="507"/>
      <c r="U88" s="507"/>
      <c r="V88" s="507"/>
      <c r="W88" s="507"/>
      <c r="X88" s="507"/>
      <c r="Y88" s="507"/>
      <c r="Z88" s="508"/>
    </row>
    <row r="89" spans="2:26">
      <c r="B89" s="505"/>
      <c r="C89" s="507"/>
      <c r="D89" s="507"/>
      <c r="E89" s="507"/>
      <c r="F89" s="507"/>
      <c r="G89" s="507"/>
      <c r="H89" s="507"/>
      <c r="I89" s="507"/>
      <c r="J89" s="507"/>
      <c r="K89" s="507"/>
      <c r="L89" s="507"/>
      <c r="M89" s="507"/>
      <c r="N89" s="507"/>
      <c r="O89" s="507"/>
      <c r="P89" s="507"/>
      <c r="Q89" s="507"/>
      <c r="R89" s="507"/>
      <c r="S89" s="507"/>
      <c r="T89" s="507"/>
      <c r="U89" s="507"/>
      <c r="V89" s="507"/>
      <c r="W89" s="507"/>
      <c r="X89" s="507"/>
      <c r="Y89" s="507"/>
      <c r="Z89" s="508"/>
    </row>
    <row r="90" spans="2:26">
      <c r="B90" s="505"/>
      <c r="C90" s="507"/>
      <c r="D90" s="507"/>
      <c r="E90" s="507"/>
      <c r="F90" s="507"/>
      <c r="G90" s="507"/>
      <c r="H90" s="507"/>
      <c r="I90" s="507"/>
      <c r="J90" s="507"/>
      <c r="K90" s="507"/>
      <c r="L90" s="507"/>
      <c r="M90" s="507"/>
      <c r="N90" s="507"/>
      <c r="O90" s="507"/>
      <c r="P90" s="507"/>
      <c r="Q90" s="507"/>
      <c r="R90" s="507"/>
      <c r="S90" s="507"/>
      <c r="T90" s="507"/>
      <c r="U90" s="507"/>
      <c r="V90" s="507"/>
      <c r="W90" s="507"/>
      <c r="X90" s="507"/>
      <c r="Y90" s="507"/>
      <c r="Z90" s="508"/>
    </row>
    <row r="91" spans="2:26">
      <c r="B91" s="505"/>
      <c r="C91" s="507"/>
      <c r="D91" s="507"/>
      <c r="E91" s="507"/>
      <c r="F91" s="507"/>
      <c r="G91" s="507"/>
      <c r="H91" s="507"/>
      <c r="I91" s="507"/>
      <c r="J91" s="507"/>
      <c r="K91" s="507"/>
      <c r="L91" s="507"/>
      <c r="M91" s="507"/>
      <c r="N91" s="507"/>
      <c r="O91" s="507"/>
      <c r="P91" s="507"/>
      <c r="Q91" s="507"/>
      <c r="R91" s="507"/>
      <c r="S91" s="507"/>
      <c r="T91" s="507"/>
      <c r="U91" s="507"/>
      <c r="V91" s="507"/>
      <c r="W91" s="507"/>
      <c r="X91" s="507"/>
      <c r="Y91" s="507"/>
      <c r="Z91" s="508"/>
    </row>
    <row r="92" spans="2:26">
      <c r="B92" s="505"/>
      <c r="C92" s="507"/>
      <c r="D92" s="507"/>
      <c r="E92" s="507"/>
      <c r="F92" s="507"/>
      <c r="G92" s="507"/>
      <c r="H92" s="507"/>
      <c r="I92" s="507"/>
      <c r="J92" s="507"/>
      <c r="K92" s="507"/>
      <c r="L92" s="507"/>
      <c r="M92" s="507"/>
      <c r="N92" s="507"/>
      <c r="O92" s="507"/>
      <c r="P92" s="507"/>
      <c r="Q92" s="507"/>
      <c r="R92" s="507"/>
      <c r="S92" s="507"/>
      <c r="T92" s="507"/>
      <c r="U92" s="507"/>
      <c r="V92" s="507"/>
      <c r="W92" s="507"/>
      <c r="X92" s="507"/>
      <c r="Y92" s="507"/>
      <c r="Z92" s="508"/>
    </row>
    <row r="93" spans="2:26">
      <c r="B93" s="505"/>
      <c r="C93" s="507"/>
      <c r="D93" s="507"/>
      <c r="E93" s="507"/>
      <c r="F93" s="507"/>
      <c r="G93" s="507"/>
      <c r="H93" s="507"/>
      <c r="I93" s="507"/>
      <c r="J93" s="507"/>
      <c r="K93" s="507"/>
      <c r="L93" s="507"/>
      <c r="M93" s="507"/>
      <c r="N93" s="507"/>
      <c r="O93" s="507"/>
      <c r="P93" s="507"/>
      <c r="Q93" s="507"/>
      <c r="R93" s="507"/>
      <c r="S93" s="507"/>
      <c r="T93" s="507"/>
      <c r="U93" s="507"/>
      <c r="V93" s="507"/>
      <c r="W93" s="507"/>
      <c r="X93" s="507"/>
      <c r="Y93" s="507"/>
      <c r="Z93" s="508"/>
    </row>
    <row r="94" spans="2:26">
      <c r="B94" s="505"/>
      <c r="C94" s="507"/>
      <c r="D94" s="507"/>
      <c r="E94" s="507"/>
      <c r="F94" s="507"/>
      <c r="G94" s="507"/>
      <c r="H94" s="507"/>
      <c r="I94" s="507"/>
      <c r="J94" s="507"/>
      <c r="K94" s="507"/>
      <c r="L94" s="507"/>
      <c r="M94" s="507"/>
      <c r="N94" s="507"/>
      <c r="O94" s="507"/>
      <c r="P94" s="507"/>
      <c r="Q94" s="507"/>
      <c r="R94" s="507"/>
      <c r="S94" s="507"/>
      <c r="T94" s="507"/>
      <c r="U94" s="507"/>
      <c r="V94" s="507"/>
      <c r="W94" s="507"/>
      <c r="X94" s="507"/>
      <c r="Y94" s="507"/>
      <c r="Z94" s="508"/>
    </row>
    <row r="95" spans="2:26">
      <c r="B95" s="505"/>
      <c r="C95" s="507"/>
      <c r="D95" s="507"/>
      <c r="E95" s="507"/>
      <c r="F95" s="507"/>
      <c r="G95" s="507"/>
      <c r="H95" s="507"/>
      <c r="I95" s="507"/>
      <c r="J95" s="507"/>
      <c r="K95" s="507"/>
      <c r="L95" s="507"/>
      <c r="M95" s="507"/>
      <c r="N95" s="507"/>
      <c r="O95" s="507"/>
      <c r="P95" s="507"/>
      <c r="Q95" s="507"/>
      <c r="R95" s="507"/>
      <c r="S95" s="507"/>
      <c r="T95" s="507"/>
      <c r="U95" s="507"/>
      <c r="V95" s="507"/>
      <c r="W95" s="507"/>
      <c r="X95" s="507"/>
      <c r="Y95" s="507"/>
      <c r="Z95" s="508"/>
    </row>
    <row r="96" spans="2:26">
      <c r="B96" s="505"/>
      <c r="C96" s="507"/>
      <c r="D96" s="507"/>
      <c r="E96" s="507"/>
      <c r="F96" s="507"/>
      <c r="G96" s="507"/>
      <c r="H96" s="507"/>
      <c r="I96" s="507"/>
      <c r="J96" s="507"/>
      <c r="K96" s="507"/>
      <c r="L96" s="507"/>
      <c r="M96" s="507"/>
      <c r="N96" s="507"/>
      <c r="O96" s="507"/>
      <c r="P96" s="507"/>
      <c r="Q96" s="507"/>
      <c r="R96" s="507"/>
      <c r="S96" s="507"/>
      <c r="T96" s="507"/>
      <c r="U96" s="507"/>
      <c r="V96" s="507"/>
      <c r="W96" s="507"/>
      <c r="X96" s="507"/>
      <c r="Y96" s="507"/>
      <c r="Z96" s="508"/>
    </row>
    <row r="97" spans="2:26">
      <c r="B97" s="505"/>
      <c r="C97" s="507"/>
      <c r="D97" s="507"/>
      <c r="E97" s="507"/>
      <c r="F97" s="507"/>
      <c r="G97" s="507"/>
      <c r="H97" s="507"/>
      <c r="I97" s="507"/>
      <c r="J97" s="507"/>
      <c r="K97" s="507"/>
      <c r="L97" s="507"/>
      <c r="M97" s="507"/>
      <c r="N97" s="507"/>
      <c r="O97" s="507"/>
      <c r="P97" s="507"/>
      <c r="Q97" s="507"/>
      <c r="R97" s="507"/>
      <c r="S97" s="507"/>
      <c r="T97" s="507"/>
      <c r="U97" s="507"/>
      <c r="V97" s="507"/>
      <c r="W97" s="507"/>
      <c r="X97" s="507"/>
      <c r="Y97" s="507"/>
      <c r="Z97" s="508"/>
    </row>
    <row r="98" spans="2:26">
      <c r="B98" s="505"/>
      <c r="C98" s="507"/>
      <c r="D98" s="507"/>
      <c r="E98" s="507"/>
      <c r="F98" s="507"/>
      <c r="G98" s="507"/>
      <c r="H98" s="507"/>
      <c r="I98" s="507"/>
      <c r="J98" s="507"/>
      <c r="K98" s="507"/>
      <c r="L98" s="507"/>
      <c r="M98" s="507"/>
      <c r="N98" s="507"/>
      <c r="O98" s="507"/>
      <c r="P98" s="507"/>
      <c r="Q98" s="507"/>
      <c r="R98" s="507"/>
      <c r="S98" s="507"/>
      <c r="T98" s="507"/>
      <c r="U98" s="507"/>
      <c r="V98" s="507"/>
      <c r="W98" s="507"/>
      <c r="X98" s="507"/>
      <c r="Y98" s="507"/>
      <c r="Z98" s="508"/>
    </row>
    <row r="99" spans="2:26">
      <c r="B99" s="505"/>
      <c r="C99" s="507"/>
      <c r="D99" s="507"/>
      <c r="E99" s="507"/>
      <c r="F99" s="507"/>
      <c r="G99" s="507"/>
      <c r="H99" s="507"/>
      <c r="I99" s="507"/>
      <c r="J99" s="507"/>
      <c r="K99" s="507"/>
      <c r="L99" s="507"/>
      <c r="M99" s="507"/>
      <c r="N99" s="507"/>
      <c r="O99" s="507"/>
      <c r="P99" s="507"/>
      <c r="Q99" s="507"/>
      <c r="R99" s="507"/>
      <c r="S99" s="507"/>
      <c r="T99" s="507"/>
      <c r="U99" s="507"/>
      <c r="V99" s="507"/>
      <c r="W99" s="507"/>
      <c r="X99" s="507"/>
      <c r="Y99" s="507"/>
      <c r="Z99" s="508"/>
    </row>
    <row r="100" spans="2:26">
      <c r="B100" s="505"/>
      <c r="C100" s="507"/>
      <c r="D100" s="507"/>
      <c r="E100" s="507"/>
      <c r="F100" s="507"/>
      <c r="G100" s="507"/>
      <c r="H100" s="507"/>
      <c r="I100" s="507"/>
      <c r="J100" s="507"/>
      <c r="K100" s="507"/>
      <c r="L100" s="507"/>
      <c r="M100" s="507"/>
      <c r="N100" s="507"/>
      <c r="O100" s="507"/>
      <c r="P100" s="507"/>
      <c r="Q100" s="507"/>
      <c r="R100" s="507"/>
      <c r="S100" s="507"/>
      <c r="T100" s="507"/>
      <c r="U100" s="507"/>
      <c r="V100" s="507"/>
      <c r="W100" s="507"/>
      <c r="X100" s="507"/>
      <c r="Y100" s="507"/>
      <c r="Z100" s="508"/>
    </row>
    <row r="101" spans="2:26">
      <c r="B101" s="505"/>
      <c r="C101" s="507"/>
      <c r="D101" s="507"/>
      <c r="E101" s="507"/>
      <c r="F101" s="507"/>
      <c r="G101" s="507"/>
      <c r="H101" s="507"/>
      <c r="I101" s="507"/>
      <c r="J101" s="507"/>
      <c r="K101" s="507"/>
      <c r="L101" s="507"/>
      <c r="M101" s="507"/>
      <c r="N101" s="507"/>
      <c r="O101" s="507"/>
      <c r="P101" s="507"/>
      <c r="Q101" s="507"/>
      <c r="R101" s="507"/>
      <c r="S101" s="507"/>
      <c r="T101" s="507"/>
      <c r="U101" s="507"/>
      <c r="V101" s="507"/>
      <c r="W101" s="507"/>
      <c r="X101" s="507"/>
      <c r="Y101" s="507"/>
      <c r="Z101" s="508"/>
    </row>
    <row r="102" spans="2:26">
      <c r="B102" s="505"/>
      <c r="C102" s="507"/>
      <c r="D102" s="507"/>
      <c r="E102" s="507"/>
      <c r="F102" s="507"/>
      <c r="G102" s="507"/>
      <c r="H102" s="507"/>
      <c r="I102" s="507"/>
      <c r="J102" s="507"/>
      <c r="K102" s="507"/>
      <c r="L102" s="507"/>
      <c r="M102" s="507"/>
      <c r="N102" s="507"/>
      <c r="O102" s="507"/>
      <c r="P102" s="507"/>
      <c r="Q102" s="507"/>
      <c r="R102" s="507"/>
      <c r="S102" s="507"/>
      <c r="T102" s="507"/>
      <c r="U102" s="507"/>
      <c r="V102" s="507"/>
      <c r="W102" s="507"/>
      <c r="X102" s="507"/>
      <c r="Y102" s="507"/>
      <c r="Z102" s="508"/>
    </row>
    <row r="103" spans="2:26">
      <c r="B103" s="505"/>
      <c r="C103" s="507"/>
      <c r="D103" s="507"/>
      <c r="E103" s="507"/>
      <c r="F103" s="507"/>
      <c r="G103" s="507"/>
      <c r="H103" s="507"/>
      <c r="I103" s="507"/>
      <c r="J103" s="507"/>
      <c r="K103" s="507"/>
      <c r="L103" s="507"/>
      <c r="M103" s="507"/>
      <c r="N103" s="507"/>
      <c r="O103" s="507"/>
      <c r="P103" s="507"/>
      <c r="Q103" s="507"/>
      <c r="R103" s="507"/>
      <c r="S103" s="507"/>
      <c r="T103" s="507"/>
      <c r="U103" s="507"/>
      <c r="V103" s="507"/>
      <c r="W103" s="507"/>
      <c r="X103" s="507"/>
      <c r="Y103" s="507"/>
      <c r="Z103" s="508"/>
    </row>
    <row r="104" spans="2:26">
      <c r="B104" s="505"/>
      <c r="C104" s="507"/>
      <c r="D104" s="507"/>
      <c r="E104" s="507"/>
      <c r="F104" s="507"/>
      <c r="G104" s="507"/>
      <c r="H104" s="507"/>
      <c r="I104" s="507"/>
      <c r="J104" s="507"/>
      <c r="K104" s="507"/>
      <c r="L104" s="507"/>
      <c r="M104" s="507"/>
      <c r="N104" s="507"/>
      <c r="O104" s="507"/>
      <c r="P104" s="507"/>
      <c r="Q104" s="507"/>
      <c r="R104" s="507"/>
      <c r="S104" s="507"/>
      <c r="T104" s="507"/>
      <c r="U104" s="507"/>
      <c r="V104" s="507"/>
      <c r="W104" s="507"/>
      <c r="X104" s="507"/>
      <c r="Y104" s="507"/>
      <c r="Z104" s="508"/>
    </row>
    <row r="105" spans="2:26">
      <c r="B105" s="505"/>
      <c r="C105" s="507"/>
      <c r="D105" s="507"/>
      <c r="E105" s="507"/>
      <c r="F105" s="507"/>
      <c r="G105" s="507"/>
      <c r="H105" s="507"/>
      <c r="I105" s="507"/>
      <c r="J105" s="507"/>
      <c r="K105" s="507"/>
      <c r="L105" s="507"/>
      <c r="M105" s="507"/>
      <c r="N105" s="507"/>
      <c r="O105" s="507"/>
      <c r="P105" s="507"/>
      <c r="Q105" s="507"/>
      <c r="R105" s="507"/>
      <c r="S105" s="507"/>
      <c r="T105" s="507"/>
      <c r="U105" s="507"/>
      <c r="V105" s="507"/>
      <c r="W105" s="507"/>
      <c r="X105" s="507"/>
      <c r="Y105" s="507"/>
      <c r="Z105" s="508"/>
    </row>
    <row r="106" spans="2:26">
      <c r="B106" s="505"/>
      <c r="C106" s="507"/>
      <c r="D106" s="507"/>
      <c r="E106" s="507"/>
      <c r="F106" s="507"/>
      <c r="G106" s="507"/>
      <c r="H106" s="507"/>
      <c r="I106" s="507"/>
      <c r="J106" s="507"/>
      <c r="K106" s="507"/>
      <c r="L106" s="507"/>
      <c r="M106" s="507"/>
      <c r="N106" s="507"/>
      <c r="O106" s="507"/>
      <c r="P106" s="507"/>
      <c r="Q106" s="507"/>
      <c r="R106" s="507"/>
      <c r="S106" s="507"/>
      <c r="T106" s="507"/>
      <c r="U106" s="507"/>
      <c r="V106" s="507"/>
      <c r="W106" s="507"/>
      <c r="X106" s="507"/>
      <c r="Y106" s="507"/>
      <c r="Z106" s="508"/>
    </row>
    <row r="107" spans="2:26">
      <c r="B107" s="505"/>
      <c r="C107" s="507"/>
      <c r="D107" s="507"/>
      <c r="E107" s="507"/>
      <c r="F107" s="507"/>
      <c r="G107" s="507"/>
      <c r="H107" s="507"/>
      <c r="I107" s="507"/>
      <c r="J107" s="507"/>
      <c r="K107" s="507"/>
      <c r="L107" s="507"/>
      <c r="M107" s="507"/>
      <c r="N107" s="507"/>
      <c r="O107" s="507"/>
      <c r="P107" s="507"/>
      <c r="Q107" s="507"/>
      <c r="R107" s="507"/>
      <c r="S107" s="507"/>
      <c r="T107" s="507"/>
      <c r="U107" s="507"/>
      <c r="V107" s="507"/>
      <c r="W107" s="507"/>
      <c r="X107" s="507"/>
      <c r="Y107" s="507"/>
      <c r="Z107" s="508"/>
    </row>
    <row r="108" spans="2:26">
      <c r="B108" s="505"/>
      <c r="C108" s="507"/>
      <c r="D108" s="507"/>
      <c r="E108" s="507"/>
      <c r="F108" s="507"/>
      <c r="G108" s="507"/>
      <c r="H108" s="507"/>
      <c r="I108" s="507"/>
      <c r="J108" s="507"/>
      <c r="K108" s="507"/>
      <c r="L108" s="507"/>
      <c r="M108" s="507"/>
      <c r="N108" s="507"/>
      <c r="O108" s="507"/>
      <c r="P108" s="507"/>
      <c r="Q108" s="507"/>
      <c r="R108" s="507"/>
      <c r="S108" s="507"/>
      <c r="T108" s="507"/>
      <c r="U108" s="507"/>
      <c r="V108" s="507"/>
      <c r="W108" s="507"/>
      <c r="X108" s="507"/>
      <c r="Y108" s="507"/>
      <c r="Z108" s="508"/>
    </row>
    <row r="109" spans="2:26">
      <c r="B109" s="505"/>
      <c r="C109" s="507"/>
      <c r="D109" s="507"/>
      <c r="E109" s="507"/>
      <c r="F109" s="507"/>
      <c r="G109" s="507"/>
      <c r="H109" s="507"/>
      <c r="I109" s="507"/>
      <c r="J109" s="507"/>
      <c r="K109" s="507"/>
      <c r="L109" s="507"/>
      <c r="M109" s="507"/>
      <c r="N109" s="507"/>
      <c r="O109" s="507"/>
      <c r="P109" s="507"/>
      <c r="Q109" s="507"/>
      <c r="R109" s="507"/>
      <c r="S109" s="507"/>
      <c r="T109" s="507"/>
      <c r="U109" s="507"/>
      <c r="V109" s="507"/>
      <c r="W109" s="507"/>
      <c r="X109" s="507"/>
      <c r="Y109" s="507"/>
      <c r="Z109" s="508"/>
    </row>
    <row r="110" spans="2:26">
      <c r="B110" s="505"/>
      <c r="C110" s="507"/>
      <c r="D110" s="507"/>
      <c r="E110" s="507"/>
      <c r="F110" s="507"/>
      <c r="G110" s="507"/>
      <c r="H110" s="507"/>
      <c r="I110" s="507"/>
      <c r="J110" s="507"/>
      <c r="K110" s="507"/>
      <c r="L110" s="507"/>
      <c r="M110" s="507"/>
      <c r="N110" s="507"/>
      <c r="O110" s="507"/>
      <c r="P110" s="507"/>
      <c r="Q110" s="507"/>
      <c r="R110" s="507"/>
      <c r="S110" s="507"/>
      <c r="T110" s="507"/>
      <c r="U110" s="507"/>
      <c r="V110" s="507"/>
      <c r="W110" s="507"/>
      <c r="X110" s="507"/>
      <c r="Y110" s="507"/>
      <c r="Z110" s="508"/>
    </row>
    <row r="111" spans="2:26">
      <c r="B111" s="505"/>
      <c r="C111" s="507"/>
      <c r="D111" s="507"/>
      <c r="E111" s="507"/>
      <c r="F111" s="507"/>
      <c r="G111" s="507"/>
      <c r="H111" s="507"/>
      <c r="I111" s="507"/>
      <c r="J111" s="507"/>
      <c r="K111" s="507"/>
      <c r="L111" s="507"/>
      <c r="M111" s="507"/>
      <c r="N111" s="507"/>
      <c r="O111" s="507"/>
      <c r="P111" s="507"/>
      <c r="Q111" s="507"/>
      <c r="R111" s="507"/>
      <c r="S111" s="507"/>
      <c r="T111" s="507"/>
      <c r="U111" s="507"/>
      <c r="V111" s="507"/>
      <c r="W111" s="507"/>
      <c r="X111" s="507"/>
      <c r="Y111" s="507"/>
      <c r="Z111" s="508"/>
    </row>
    <row r="112" spans="2:26">
      <c r="B112" s="505"/>
      <c r="C112" s="507"/>
      <c r="D112" s="507"/>
      <c r="E112" s="507"/>
      <c r="F112" s="507"/>
      <c r="G112" s="507"/>
      <c r="H112" s="507"/>
      <c r="I112" s="507"/>
      <c r="J112" s="507"/>
      <c r="K112" s="507"/>
      <c r="L112" s="507"/>
      <c r="M112" s="507"/>
      <c r="N112" s="507"/>
      <c r="O112" s="507"/>
      <c r="P112" s="507"/>
      <c r="Q112" s="507"/>
      <c r="R112" s="507"/>
      <c r="S112" s="507"/>
      <c r="T112" s="507"/>
      <c r="U112" s="507"/>
      <c r="V112" s="507"/>
      <c r="W112" s="507"/>
      <c r="X112" s="507"/>
      <c r="Y112" s="507"/>
      <c r="Z112" s="508"/>
    </row>
    <row r="113" spans="2:26">
      <c r="B113" s="505"/>
      <c r="C113" s="507"/>
      <c r="D113" s="507"/>
      <c r="E113" s="507"/>
      <c r="F113" s="507"/>
      <c r="G113" s="507"/>
      <c r="H113" s="507"/>
      <c r="I113" s="507"/>
      <c r="J113" s="507"/>
      <c r="K113" s="507"/>
      <c r="L113" s="507"/>
      <c r="M113" s="507"/>
      <c r="N113" s="507"/>
      <c r="O113" s="507"/>
      <c r="P113" s="507"/>
      <c r="Q113" s="507"/>
      <c r="R113" s="507"/>
      <c r="S113" s="507"/>
      <c r="T113" s="507"/>
      <c r="U113" s="507"/>
      <c r="V113" s="507"/>
      <c r="W113" s="507"/>
      <c r="X113" s="507"/>
      <c r="Y113" s="507"/>
      <c r="Z113" s="508"/>
    </row>
    <row r="114" spans="2:26">
      <c r="B114" s="505"/>
      <c r="C114" s="507"/>
      <c r="D114" s="507"/>
      <c r="E114" s="507"/>
      <c r="F114" s="507"/>
      <c r="G114" s="507"/>
      <c r="H114" s="507"/>
      <c r="I114" s="507"/>
      <c r="J114" s="507"/>
      <c r="K114" s="507"/>
      <c r="L114" s="507"/>
      <c r="M114" s="507"/>
      <c r="N114" s="507"/>
      <c r="O114" s="507"/>
      <c r="P114" s="507"/>
      <c r="Q114" s="507"/>
      <c r="R114" s="507"/>
      <c r="S114" s="507"/>
      <c r="T114" s="507"/>
      <c r="U114" s="507"/>
      <c r="V114" s="507"/>
      <c r="W114" s="507"/>
      <c r="X114" s="507"/>
      <c r="Y114" s="507"/>
      <c r="Z114" s="508"/>
    </row>
    <row r="115" spans="2:26">
      <c r="B115" s="505"/>
      <c r="C115" s="507"/>
      <c r="D115" s="507"/>
      <c r="E115" s="507"/>
      <c r="F115" s="507"/>
      <c r="G115" s="507"/>
      <c r="H115" s="507"/>
      <c r="I115" s="507"/>
      <c r="J115" s="507"/>
      <c r="K115" s="507"/>
      <c r="L115" s="507"/>
      <c r="M115" s="507"/>
      <c r="N115" s="507"/>
      <c r="O115" s="507"/>
      <c r="P115" s="507"/>
      <c r="Q115" s="507"/>
      <c r="R115" s="507"/>
      <c r="S115" s="507"/>
      <c r="T115" s="507"/>
      <c r="U115" s="507"/>
      <c r="V115" s="507"/>
      <c r="W115" s="507"/>
      <c r="X115" s="507"/>
      <c r="Y115" s="507"/>
      <c r="Z115" s="508"/>
    </row>
    <row r="116" spans="2:26">
      <c r="B116" s="505"/>
      <c r="C116" s="507"/>
      <c r="D116" s="507"/>
      <c r="E116" s="507"/>
      <c r="F116" s="507"/>
      <c r="G116" s="507"/>
      <c r="H116" s="507"/>
      <c r="I116" s="507"/>
      <c r="J116" s="507"/>
      <c r="K116" s="507"/>
      <c r="L116" s="507"/>
      <c r="M116" s="507"/>
      <c r="N116" s="507"/>
      <c r="O116" s="507"/>
      <c r="P116" s="507"/>
      <c r="Q116" s="507"/>
      <c r="R116" s="507"/>
      <c r="S116" s="507"/>
      <c r="T116" s="507"/>
      <c r="U116" s="507"/>
      <c r="V116" s="507"/>
      <c r="W116" s="507"/>
      <c r="X116" s="507"/>
      <c r="Y116" s="507"/>
      <c r="Z116" s="508"/>
    </row>
    <row r="117" spans="2:26">
      <c r="B117" s="505"/>
      <c r="C117" s="507"/>
      <c r="D117" s="507"/>
      <c r="E117" s="507"/>
      <c r="F117" s="507"/>
      <c r="G117" s="507"/>
      <c r="H117" s="507"/>
      <c r="I117" s="507"/>
      <c r="J117" s="507"/>
      <c r="K117" s="507"/>
      <c r="L117" s="507"/>
      <c r="M117" s="507"/>
      <c r="N117" s="507"/>
      <c r="O117" s="507"/>
      <c r="P117" s="507"/>
      <c r="Q117" s="507"/>
      <c r="R117" s="507"/>
      <c r="S117" s="507"/>
      <c r="T117" s="507"/>
      <c r="U117" s="507"/>
      <c r="V117" s="507"/>
      <c r="W117" s="507"/>
      <c r="X117" s="507"/>
      <c r="Y117" s="507"/>
      <c r="Z117" s="508"/>
    </row>
    <row r="118" spans="2:26">
      <c r="B118" s="505"/>
      <c r="C118" s="507"/>
      <c r="D118" s="507"/>
      <c r="E118" s="507"/>
      <c r="F118" s="507"/>
      <c r="G118" s="507"/>
      <c r="H118" s="507"/>
      <c r="I118" s="507"/>
      <c r="J118" s="507"/>
      <c r="K118" s="507"/>
      <c r="L118" s="507"/>
      <c r="M118" s="507"/>
      <c r="N118" s="507"/>
      <c r="O118" s="507"/>
      <c r="P118" s="507"/>
      <c r="Q118" s="507"/>
      <c r="R118" s="507"/>
      <c r="S118" s="507"/>
      <c r="T118" s="507"/>
      <c r="U118" s="507"/>
      <c r="V118" s="507"/>
      <c r="W118" s="507"/>
      <c r="X118" s="507"/>
      <c r="Y118" s="507"/>
      <c r="Z118" s="508"/>
    </row>
    <row r="119" spans="2:26">
      <c r="B119" s="505"/>
      <c r="C119" s="507"/>
      <c r="D119" s="507"/>
      <c r="E119" s="507"/>
      <c r="F119" s="507"/>
      <c r="G119" s="507"/>
      <c r="H119" s="507"/>
      <c r="I119" s="507"/>
      <c r="J119" s="507"/>
      <c r="K119" s="507"/>
      <c r="L119" s="507"/>
      <c r="M119" s="507"/>
      <c r="N119" s="507"/>
      <c r="O119" s="507"/>
      <c r="P119" s="507"/>
      <c r="Q119" s="507"/>
      <c r="R119" s="507"/>
      <c r="S119" s="507"/>
      <c r="T119" s="507"/>
      <c r="U119" s="507"/>
      <c r="V119" s="507"/>
      <c r="W119" s="507"/>
      <c r="X119" s="507"/>
      <c r="Y119" s="507"/>
      <c r="Z119" s="508"/>
    </row>
    <row r="120" spans="2:26">
      <c r="B120" s="505"/>
      <c r="C120" s="507"/>
      <c r="D120" s="507"/>
      <c r="E120" s="507"/>
      <c r="F120" s="507"/>
      <c r="G120" s="507"/>
      <c r="H120" s="507"/>
      <c r="I120" s="507"/>
      <c r="J120" s="507"/>
      <c r="K120" s="507"/>
      <c r="L120" s="507"/>
      <c r="M120" s="507"/>
      <c r="N120" s="507"/>
      <c r="O120" s="507"/>
      <c r="P120" s="507"/>
      <c r="Q120" s="507"/>
      <c r="R120" s="507"/>
      <c r="S120" s="507"/>
      <c r="T120" s="507"/>
      <c r="U120" s="507"/>
      <c r="V120" s="507"/>
      <c r="W120" s="507"/>
      <c r="X120" s="507"/>
      <c r="Y120" s="507"/>
      <c r="Z120" s="508"/>
    </row>
    <row r="121" spans="2:26">
      <c r="B121" s="505"/>
      <c r="C121" s="507"/>
      <c r="D121" s="507"/>
      <c r="E121" s="507"/>
      <c r="F121" s="507"/>
      <c r="G121" s="507"/>
      <c r="H121" s="507"/>
      <c r="I121" s="507"/>
      <c r="J121" s="507"/>
      <c r="K121" s="507"/>
      <c r="L121" s="507"/>
      <c r="M121" s="507"/>
      <c r="N121" s="507"/>
      <c r="O121" s="507"/>
      <c r="P121" s="507"/>
      <c r="Q121" s="507"/>
      <c r="R121" s="507"/>
      <c r="S121" s="507"/>
      <c r="T121" s="507"/>
      <c r="U121" s="507"/>
      <c r="V121" s="507"/>
      <c r="W121" s="507"/>
      <c r="X121" s="507"/>
      <c r="Y121" s="507"/>
      <c r="Z121" s="508"/>
    </row>
    <row r="122" spans="2:26">
      <c r="B122" s="505"/>
      <c r="C122" s="507"/>
      <c r="D122" s="507"/>
      <c r="E122" s="507"/>
      <c r="F122" s="507"/>
      <c r="G122" s="507"/>
      <c r="H122" s="507"/>
      <c r="I122" s="507"/>
      <c r="J122" s="507"/>
      <c r="K122" s="507"/>
      <c r="L122" s="507"/>
      <c r="M122" s="507"/>
      <c r="N122" s="507"/>
      <c r="O122" s="507"/>
      <c r="P122" s="507"/>
      <c r="Q122" s="507"/>
      <c r="R122" s="507"/>
      <c r="S122" s="507"/>
      <c r="T122" s="507"/>
      <c r="U122" s="507"/>
      <c r="V122" s="507"/>
      <c r="W122" s="507"/>
      <c r="X122" s="507"/>
      <c r="Y122" s="507"/>
      <c r="Z122" s="508"/>
    </row>
    <row r="123" spans="2:26">
      <c r="B123" s="505"/>
      <c r="C123" s="507"/>
      <c r="D123" s="507"/>
      <c r="E123" s="507"/>
      <c r="F123" s="507"/>
      <c r="G123" s="507"/>
      <c r="H123" s="507"/>
      <c r="I123" s="507"/>
      <c r="J123" s="507"/>
      <c r="K123" s="507"/>
      <c r="L123" s="507"/>
      <c r="M123" s="507"/>
      <c r="N123" s="507"/>
      <c r="O123" s="507"/>
      <c r="P123" s="507"/>
      <c r="Q123" s="507"/>
      <c r="R123" s="507"/>
      <c r="S123" s="507"/>
      <c r="T123" s="507"/>
      <c r="U123" s="507"/>
      <c r="V123" s="507"/>
      <c r="W123" s="507"/>
      <c r="X123" s="507"/>
      <c r="Y123" s="507"/>
      <c r="Z123" s="508"/>
    </row>
    <row r="124" spans="2:26">
      <c r="B124" s="505"/>
      <c r="C124" s="507"/>
      <c r="D124" s="507"/>
      <c r="E124" s="507"/>
      <c r="F124" s="507"/>
      <c r="G124" s="507"/>
      <c r="H124" s="507"/>
      <c r="I124" s="507"/>
      <c r="J124" s="507"/>
      <c r="K124" s="507"/>
      <c r="L124" s="507"/>
      <c r="M124" s="507"/>
      <c r="N124" s="507"/>
      <c r="O124" s="507"/>
      <c r="P124" s="507"/>
      <c r="Q124" s="507"/>
      <c r="R124" s="507"/>
      <c r="S124" s="507"/>
      <c r="T124" s="507"/>
      <c r="U124" s="507"/>
      <c r="V124" s="507"/>
      <c r="W124" s="507"/>
      <c r="X124" s="507"/>
      <c r="Y124" s="507"/>
      <c r="Z124" s="508"/>
    </row>
    <row r="125" spans="2:26">
      <c r="B125" s="505"/>
      <c r="C125" s="507"/>
      <c r="D125" s="507"/>
      <c r="E125" s="507"/>
      <c r="F125" s="507"/>
      <c r="G125" s="507"/>
      <c r="H125" s="507"/>
      <c r="I125" s="507"/>
      <c r="J125" s="507"/>
      <c r="K125" s="507"/>
      <c r="L125" s="507"/>
      <c r="M125" s="507"/>
      <c r="N125" s="507"/>
      <c r="O125" s="507"/>
      <c r="P125" s="507"/>
      <c r="Q125" s="507"/>
      <c r="R125" s="507"/>
      <c r="S125" s="507"/>
      <c r="T125" s="507"/>
      <c r="U125" s="507"/>
      <c r="V125" s="507"/>
      <c r="W125" s="507"/>
      <c r="X125" s="507"/>
      <c r="Y125" s="507"/>
      <c r="Z125" s="508"/>
    </row>
    <row r="126" spans="2:26">
      <c r="B126" s="505"/>
      <c r="C126" s="507"/>
      <c r="D126" s="507"/>
      <c r="E126" s="507"/>
      <c r="F126" s="507"/>
      <c r="G126" s="507"/>
      <c r="H126" s="507"/>
      <c r="I126" s="507"/>
      <c r="J126" s="507"/>
      <c r="K126" s="507"/>
      <c r="L126" s="507"/>
      <c r="M126" s="507"/>
      <c r="N126" s="507"/>
      <c r="O126" s="507"/>
      <c r="P126" s="507"/>
      <c r="Q126" s="507"/>
      <c r="R126" s="507"/>
      <c r="S126" s="507"/>
      <c r="T126" s="507"/>
      <c r="U126" s="507"/>
      <c r="V126" s="507"/>
      <c r="W126" s="507"/>
      <c r="X126" s="507"/>
      <c r="Y126" s="507"/>
      <c r="Z126" s="508"/>
    </row>
    <row r="127" spans="2:26">
      <c r="B127" s="505"/>
      <c r="C127" s="507"/>
      <c r="D127" s="507"/>
      <c r="E127" s="507"/>
      <c r="F127" s="507"/>
      <c r="G127" s="507"/>
      <c r="H127" s="507"/>
      <c r="I127" s="507"/>
      <c r="J127" s="507"/>
      <c r="K127" s="507"/>
      <c r="L127" s="507"/>
      <c r="M127" s="507"/>
      <c r="N127" s="507"/>
      <c r="O127" s="507"/>
      <c r="P127" s="507"/>
      <c r="Q127" s="507"/>
      <c r="R127" s="507"/>
      <c r="S127" s="507"/>
      <c r="T127" s="507"/>
      <c r="U127" s="507"/>
      <c r="V127" s="507"/>
      <c r="W127" s="507"/>
      <c r="X127" s="507"/>
      <c r="Y127" s="507"/>
      <c r="Z127" s="508"/>
    </row>
    <row r="128" spans="2:26">
      <c r="B128" s="505"/>
      <c r="C128" s="507"/>
      <c r="D128" s="507"/>
      <c r="E128" s="507"/>
      <c r="F128" s="507"/>
      <c r="G128" s="507"/>
      <c r="H128" s="507"/>
      <c r="I128" s="507"/>
      <c r="J128" s="507"/>
      <c r="K128" s="507"/>
      <c r="L128" s="507"/>
      <c r="M128" s="507"/>
      <c r="N128" s="507"/>
      <c r="O128" s="507"/>
      <c r="P128" s="507"/>
      <c r="Q128" s="507"/>
      <c r="R128" s="507"/>
      <c r="S128" s="507"/>
      <c r="T128" s="507"/>
      <c r="U128" s="507"/>
      <c r="V128" s="507"/>
      <c r="W128" s="507"/>
      <c r="X128" s="507"/>
      <c r="Y128" s="507"/>
      <c r="Z128" s="508"/>
    </row>
    <row r="129" spans="2:26">
      <c r="B129" s="505"/>
      <c r="C129" s="507"/>
      <c r="D129" s="507"/>
      <c r="E129" s="507"/>
      <c r="F129" s="507"/>
      <c r="G129" s="507"/>
      <c r="H129" s="507"/>
      <c r="I129" s="507"/>
      <c r="J129" s="507"/>
      <c r="K129" s="507"/>
      <c r="L129" s="507"/>
      <c r="M129" s="507"/>
      <c r="N129" s="507"/>
      <c r="O129" s="507"/>
      <c r="P129" s="507"/>
      <c r="Q129" s="507"/>
      <c r="R129" s="507"/>
      <c r="S129" s="507"/>
      <c r="T129" s="507"/>
      <c r="U129" s="507"/>
      <c r="V129" s="507"/>
      <c r="W129" s="507"/>
      <c r="X129" s="507"/>
      <c r="Y129" s="507"/>
      <c r="Z129" s="508"/>
    </row>
    <row r="130" spans="2:26">
      <c r="B130" s="505"/>
      <c r="C130" s="507"/>
      <c r="D130" s="507"/>
      <c r="E130" s="507"/>
      <c r="F130" s="507"/>
      <c r="G130" s="507"/>
      <c r="H130" s="507"/>
      <c r="I130" s="507"/>
      <c r="J130" s="507"/>
      <c r="K130" s="507"/>
      <c r="L130" s="507"/>
      <c r="M130" s="507"/>
      <c r="N130" s="507"/>
      <c r="O130" s="507"/>
      <c r="P130" s="507"/>
      <c r="Q130" s="507"/>
      <c r="R130" s="507"/>
      <c r="S130" s="507"/>
      <c r="T130" s="507"/>
      <c r="U130" s="507"/>
      <c r="V130" s="507"/>
      <c r="W130" s="507"/>
      <c r="X130" s="507"/>
      <c r="Y130" s="507"/>
      <c r="Z130" s="508"/>
    </row>
    <row r="131" spans="2:26">
      <c r="B131" s="505"/>
      <c r="C131" s="507"/>
      <c r="D131" s="507"/>
      <c r="E131" s="507"/>
      <c r="F131" s="507"/>
      <c r="G131" s="507"/>
      <c r="H131" s="507"/>
      <c r="I131" s="507"/>
      <c r="J131" s="507"/>
      <c r="K131" s="507"/>
      <c r="L131" s="507"/>
      <c r="M131" s="507"/>
      <c r="N131" s="507"/>
      <c r="O131" s="507"/>
      <c r="P131" s="507"/>
      <c r="Q131" s="507"/>
      <c r="R131" s="507"/>
      <c r="S131" s="507"/>
      <c r="T131" s="507"/>
      <c r="U131" s="507"/>
      <c r="V131" s="507"/>
      <c r="W131" s="507"/>
      <c r="X131" s="507"/>
      <c r="Y131" s="507"/>
      <c r="Z131" s="508"/>
    </row>
    <row r="132" spans="2:26">
      <c r="B132" s="505"/>
      <c r="C132" s="507"/>
      <c r="D132" s="507"/>
      <c r="E132" s="507"/>
      <c r="F132" s="507"/>
      <c r="G132" s="507"/>
      <c r="H132" s="507"/>
      <c r="I132" s="507"/>
      <c r="J132" s="507"/>
      <c r="K132" s="507"/>
      <c r="L132" s="507"/>
      <c r="M132" s="507"/>
      <c r="N132" s="507"/>
      <c r="O132" s="507"/>
      <c r="P132" s="507"/>
      <c r="Q132" s="507"/>
      <c r="R132" s="507"/>
      <c r="S132" s="507"/>
      <c r="T132" s="507"/>
      <c r="U132" s="507"/>
      <c r="V132" s="507"/>
      <c r="W132" s="507"/>
      <c r="X132" s="507"/>
      <c r="Y132" s="507"/>
      <c r="Z132" s="508"/>
    </row>
    <row r="133" spans="2:26">
      <c r="B133" s="505"/>
      <c r="C133" s="507"/>
      <c r="D133" s="507"/>
      <c r="E133" s="507"/>
      <c r="F133" s="507"/>
      <c r="G133" s="507"/>
      <c r="H133" s="507"/>
      <c r="I133" s="507"/>
      <c r="J133" s="507"/>
      <c r="K133" s="507"/>
      <c r="L133" s="507"/>
      <c r="M133" s="507"/>
      <c r="N133" s="507"/>
      <c r="O133" s="507"/>
      <c r="P133" s="507"/>
      <c r="Q133" s="507"/>
      <c r="R133" s="507"/>
      <c r="S133" s="507"/>
      <c r="T133" s="507"/>
      <c r="U133" s="507"/>
      <c r="V133" s="507"/>
      <c r="W133" s="507"/>
      <c r="X133" s="507"/>
      <c r="Y133" s="507"/>
      <c r="Z133" s="508"/>
    </row>
    <row r="134" spans="2:26">
      <c r="B134" s="505"/>
      <c r="C134" s="507"/>
      <c r="D134" s="507"/>
      <c r="E134" s="507"/>
      <c r="F134" s="507"/>
      <c r="G134" s="507"/>
      <c r="H134" s="507"/>
      <c r="I134" s="507"/>
      <c r="J134" s="507"/>
      <c r="K134" s="507"/>
      <c r="L134" s="507"/>
      <c r="M134" s="507"/>
      <c r="N134" s="507"/>
      <c r="O134" s="507"/>
      <c r="P134" s="507"/>
      <c r="Q134" s="507"/>
      <c r="R134" s="507"/>
      <c r="S134" s="507"/>
      <c r="T134" s="507"/>
      <c r="U134" s="507"/>
      <c r="V134" s="507"/>
      <c r="W134" s="507"/>
      <c r="X134" s="507"/>
      <c r="Y134" s="507"/>
      <c r="Z134" s="508"/>
    </row>
    <row r="135" spans="2:26">
      <c r="B135" s="505"/>
      <c r="C135" s="507"/>
      <c r="D135" s="507"/>
      <c r="E135" s="507"/>
      <c r="F135" s="507"/>
      <c r="G135" s="507"/>
      <c r="H135" s="507"/>
      <c r="I135" s="507"/>
      <c r="J135" s="507"/>
      <c r="K135" s="507"/>
      <c r="L135" s="507"/>
      <c r="M135" s="507"/>
      <c r="N135" s="507"/>
      <c r="O135" s="507"/>
      <c r="P135" s="507"/>
      <c r="Q135" s="507"/>
      <c r="R135" s="507"/>
      <c r="S135" s="507"/>
      <c r="T135" s="507"/>
      <c r="U135" s="507"/>
      <c r="V135" s="507"/>
      <c r="W135" s="507"/>
      <c r="X135" s="507"/>
      <c r="Y135" s="507"/>
      <c r="Z135" s="508"/>
    </row>
    <row r="136" spans="2:26">
      <c r="B136" s="505"/>
      <c r="C136" s="507"/>
      <c r="D136" s="507"/>
      <c r="E136" s="507"/>
      <c r="F136" s="507"/>
      <c r="G136" s="507"/>
      <c r="H136" s="507"/>
      <c r="I136" s="507"/>
      <c r="J136" s="507"/>
      <c r="K136" s="507"/>
      <c r="L136" s="507"/>
      <c r="M136" s="507"/>
      <c r="N136" s="507"/>
      <c r="O136" s="507"/>
      <c r="P136" s="507"/>
      <c r="Q136" s="507"/>
      <c r="R136" s="507"/>
      <c r="S136" s="507"/>
      <c r="T136" s="507"/>
      <c r="U136" s="507"/>
      <c r="V136" s="507"/>
      <c r="W136" s="507"/>
      <c r="X136" s="507"/>
      <c r="Y136" s="507"/>
      <c r="Z136" s="508"/>
    </row>
    <row r="137" spans="2:26">
      <c r="B137" s="505"/>
      <c r="C137" s="507"/>
      <c r="D137" s="507"/>
      <c r="E137" s="507"/>
      <c r="F137" s="507"/>
      <c r="G137" s="507"/>
      <c r="H137" s="507"/>
      <c r="I137" s="507"/>
      <c r="J137" s="507"/>
      <c r="K137" s="507"/>
      <c r="L137" s="507"/>
      <c r="M137" s="507"/>
      <c r="N137" s="507"/>
      <c r="O137" s="507"/>
      <c r="P137" s="507"/>
      <c r="Q137" s="507"/>
      <c r="R137" s="507"/>
      <c r="S137" s="507"/>
      <c r="T137" s="507"/>
      <c r="U137" s="507"/>
      <c r="V137" s="507"/>
      <c r="W137" s="507"/>
      <c r="X137" s="507"/>
      <c r="Y137" s="507"/>
      <c r="Z137" s="508"/>
    </row>
    <row r="138" spans="2:26">
      <c r="B138" s="505"/>
      <c r="C138" s="507"/>
      <c r="D138" s="507"/>
      <c r="E138" s="507"/>
      <c r="F138" s="507"/>
      <c r="G138" s="507"/>
      <c r="H138" s="507"/>
      <c r="I138" s="507"/>
      <c r="J138" s="507"/>
      <c r="K138" s="507"/>
      <c r="L138" s="507"/>
      <c r="M138" s="507"/>
      <c r="N138" s="507"/>
      <c r="O138" s="507"/>
      <c r="P138" s="507"/>
      <c r="Q138" s="507"/>
      <c r="R138" s="507"/>
      <c r="S138" s="507"/>
      <c r="T138" s="507"/>
      <c r="U138" s="507"/>
      <c r="V138" s="507"/>
      <c r="W138" s="507"/>
      <c r="X138" s="507"/>
      <c r="Y138" s="507"/>
      <c r="Z138" s="508"/>
    </row>
    <row r="139" spans="2:26">
      <c r="B139" s="505"/>
      <c r="C139" s="507"/>
      <c r="D139" s="507"/>
      <c r="E139" s="507"/>
      <c r="F139" s="507"/>
      <c r="G139" s="507"/>
      <c r="H139" s="507"/>
      <c r="I139" s="507"/>
      <c r="J139" s="507"/>
      <c r="K139" s="507"/>
      <c r="L139" s="507"/>
      <c r="M139" s="507"/>
      <c r="N139" s="507"/>
      <c r="O139" s="507"/>
      <c r="P139" s="507"/>
      <c r="Q139" s="507"/>
      <c r="R139" s="507"/>
      <c r="S139" s="507"/>
      <c r="T139" s="507"/>
      <c r="U139" s="507"/>
      <c r="V139" s="507"/>
      <c r="W139" s="507"/>
      <c r="X139" s="507"/>
      <c r="Y139" s="507"/>
      <c r="Z139" s="508"/>
    </row>
    <row r="140" spans="2:26">
      <c r="B140" s="505"/>
      <c r="C140" s="507"/>
      <c r="D140" s="507"/>
      <c r="E140" s="507"/>
      <c r="F140" s="507"/>
      <c r="G140" s="507"/>
      <c r="H140" s="507"/>
      <c r="I140" s="507"/>
      <c r="J140" s="507"/>
      <c r="K140" s="507"/>
      <c r="L140" s="507"/>
      <c r="M140" s="507"/>
      <c r="N140" s="507"/>
      <c r="O140" s="507"/>
      <c r="P140" s="507"/>
      <c r="Q140" s="507"/>
      <c r="R140" s="507"/>
      <c r="S140" s="507"/>
      <c r="T140" s="507"/>
      <c r="U140" s="507"/>
      <c r="V140" s="507"/>
      <c r="W140" s="507"/>
      <c r="X140" s="507"/>
      <c r="Y140" s="507"/>
      <c r="Z140" s="508"/>
    </row>
    <row r="141" spans="2:26">
      <c r="B141" s="505"/>
      <c r="C141" s="507"/>
      <c r="D141" s="507"/>
      <c r="E141" s="507"/>
      <c r="F141" s="507"/>
      <c r="G141" s="507"/>
      <c r="H141" s="507"/>
      <c r="I141" s="507"/>
      <c r="J141" s="507"/>
      <c r="K141" s="507"/>
      <c r="L141" s="507"/>
      <c r="M141" s="507"/>
      <c r="N141" s="507"/>
      <c r="O141" s="507"/>
      <c r="P141" s="507"/>
      <c r="Q141" s="507"/>
      <c r="R141" s="507"/>
      <c r="S141" s="507"/>
      <c r="T141" s="507"/>
      <c r="U141" s="507"/>
      <c r="V141" s="507"/>
      <c r="W141" s="507"/>
      <c r="X141" s="507"/>
      <c r="Y141" s="507"/>
      <c r="Z141" s="508"/>
    </row>
    <row r="142" spans="2:26">
      <c r="B142" s="505"/>
      <c r="C142" s="507"/>
      <c r="D142" s="507"/>
      <c r="E142" s="507"/>
      <c r="F142" s="507"/>
      <c r="G142" s="507"/>
      <c r="H142" s="507"/>
      <c r="I142" s="507"/>
      <c r="J142" s="507"/>
      <c r="K142" s="507"/>
      <c r="L142" s="507"/>
      <c r="M142" s="507"/>
      <c r="N142" s="507"/>
      <c r="O142" s="507"/>
      <c r="P142" s="507"/>
      <c r="Q142" s="507"/>
      <c r="R142" s="507"/>
      <c r="S142" s="507"/>
      <c r="T142" s="507"/>
      <c r="U142" s="507"/>
      <c r="V142" s="507"/>
      <c r="W142" s="507"/>
      <c r="X142" s="507"/>
      <c r="Y142" s="507"/>
      <c r="Z142" s="508"/>
    </row>
    <row r="143" spans="2:26">
      <c r="B143" s="505"/>
      <c r="C143" s="507"/>
      <c r="D143" s="507"/>
      <c r="E143" s="507"/>
      <c r="F143" s="507"/>
      <c r="G143" s="507"/>
      <c r="H143" s="507"/>
      <c r="I143" s="507"/>
      <c r="J143" s="507"/>
      <c r="K143" s="507"/>
      <c r="L143" s="507"/>
      <c r="M143" s="507"/>
      <c r="N143" s="507"/>
      <c r="O143" s="507"/>
      <c r="P143" s="507"/>
      <c r="Q143" s="507"/>
      <c r="R143" s="507"/>
      <c r="S143" s="507"/>
      <c r="T143" s="507"/>
      <c r="U143" s="507"/>
      <c r="V143" s="507"/>
      <c r="W143" s="507"/>
      <c r="X143" s="507"/>
      <c r="Y143" s="507"/>
      <c r="Z143" s="508"/>
    </row>
    <row r="144" spans="2:26">
      <c r="B144" s="505"/>
      <c r="C144" s="507"/>
      <c r="D144" s="507"/>
      <c r="E144" s="507"/>
      <c r="F144" s="507"/>
      <c r="G144" s="507"/>
      <c r="H144" s="507"/>
      <c r="I144" s="507"/>
      <c r="J144" s="507"/>
      <c r="K144" s="507"/>
      <c r="L144" s="507"/>
      <c r="M144" s="507"/>
      <c r="N144" s="507"/>
      <c r="O144" s="507"/>
      <c r="P144" s="507"/>
      <c r="Q144" s="507"/>
      <c r="R144" s="507"/>
      <c r="S144" s="507"/>
      <c r="T144" s="507"/>
      <c r="U144" s="507"/>
      <c r="V144" s="507"/>
      <c r="W144" s="507"/>
      <c r="X144" s="507"/>
      <c r="Y144" s="507"/>
      <c r="Z144" s="508"/>
    </row>
    <row r="145" spans="2:26">
      <c r="B145" s="505"/>
      <c r="C145" s="507"/>
      <c r="D145" s="507"/>
      <c r="E145" s="507"/>
      <c r="F145" s="507"/>
      <c r="G145" s="507"/>
      <c r="H145" s="507"/>
      <c r="I145" s="507"/>
      <c r="J145" s="507"/>
      <c r="K145" s="507"/>
      <c r="L145" s="507"/>
      <c r="M145" s="507"/>
      <c r="N145" s="507"/>
      <c r="O145" s="507"/>
      <c r="P145" s="507"/>
      <c r="Q145" s="507"/>
      <c r="R145" s="507"/>
      <c r="S145" s="507"/>
      <c r="T145" s="507"/>
      <c r="U145" s="507"/>
      <c r="V145" s="507"/>
      <c r="W145" s="507"/>
      <c r="X145" s="507"/>
      <c r="Y145" s="507"/>
      <c r="Z145" s="508"/>
    </row>
    <row r="146" spans="2:26">
      <c r="B146" s="505"/>
      <c r="C146" s="507"/>
      <c r="D146" s="507"/>
      <c r="E146" s="507"/>
      <c r="F146" s="507"/>
      <c r="G146" s="507"/>
      <c r="H146" s="507"/>
      <c r="I146" s="507"/>
      <c r="J146" s="507"/>
      <c r="K146" s="507"/>
      <c r="L146" s="507"/>
      <c r="M146" s="507"/>
      <c r="N146" s="507"/>
      <c r="O146" s="507"/>
      <c r="P146" s="507"/>
      <c r="Q146" s="507"/>
      <c r="R146" s="507"/>
      <c r="S146" s="507"/>
      <c r="T146" s="507"/>
      <c r="U146" s="507"/>
      <c r="V146" s="507"/>
      <c r="W146" s="507"/>
      <c r="X146" s="507"/>
      <c r="Y146" s="507"/>
      <c r="Z146" s="508"/>
    </row>
    <row r="147" spans="2:26">
      <c r="B147" s="505"/>
      <c r="C147" s="507"/>
      <c r="D147" s="507"/>
      <c r="E147" s="507"/>
      <c r="F147" s="507"/>
      <c r="G147" s="507"/>
      <c r="H147" s="507"/>
      <c r="I147" s="507"/>
      <c r="J147" s="507"/>
      <c r="K147" s="507"/>
      <c r="L147" s="507"/>
      <c r="M147" s="507"/>
      <c r="N147" s="507"/>
      <c r="O147" s="507"/>
      <c r="P147" s="507"/>
      <c r="Q147" s="507"/>
      <c r="R147" s="507"/>
      <c r="S147" s="507"/>
      <c r="T147" s="507"/>
      <c r="U147" s="507"/>
      <c r="V147" s="507"/>
      <c r="W147" s="507"/>
      <c r="X147" s="507"/>
      <c r="Y147" s="507"/>
      <c r="Z147" s="508"/>
    </row>
    <row r="148" spans="2:26">
      <c r="B148" s="505"/>
      <c r="C148" s="507"/>
      <c r="D148" s="507"/>
      <c r="E148" s="507"/>
      <c r="F148" s="507"/>
      <c r="G148" s="507"/>
      <c r="H148" s="507"/>
      <c r="I148" s="507"/>
      <c r="J148" s="507"/>
      <c r="K148" s="507"/>
      <c r="L148" s="507"/>
      <c r="M148" s="507"/>
      <c r="N148" s="507"/>
      <c r="O148" s="507"/>
      <c r="P148" s="507"/>
      <c r="Q148" s="507"/>
      <c r="R148" s="507"/>
      <c r="S148" s="507"/>
      <c r="T148" s="507"/>
      <c r="U148" s="507"/>
      <c r="V148" s="507"/>
      <c r="W148" s="507"/>
      <c r="X148" s="507"/>
      <c r="Y148" s="507"/>
      <c r="Z148" s="508"/>
    </row>
    <row r="149" spans="2:26">
      <c r="B149" s="505"/>
      <c r="C149" s="507"/>
      <c r="D149" s="507"/>
      <c r="E149" s="507"/>
      <c r="F149" s="507"/>
      <c r="G149" s="507"/>
      <c r="H149" s="507"/>
      <c r="I149" s="507"/>
      <c r="J149" s="507"/>
      <c r="K149" s="507"/>
      <c r="L149" s="507"/>
      <c r="M149" s="507"/>
      <c r="N149" s="507"/>
      <c r="O149" s="507"/>
      <c r="P149" s="507"/>
      <c r="Q149" s="507"/>
      <c r="R149" s="507"/>
      <c r="S149" s="507"/>
      <c r="T149" s="507"/>
      <c r="U149" s="507"/>
      <c r="V149" s="507"/>
      <c r="W149" s="507"/>
      <c r="X149" s="507"/>
      <c r="Y149" s="507"/>
      <c r="Z149" s="508"/>
    </row>
    <row r="150" spans="2:26">
      <c r="B150" s="505"/>
      <c r="C150" s="507"/>
      <c r="D150" s="507"/>
      <c r="E150" s="507"/>
      <c r="F150" s="507"/>
      <c r="G150" s="507"/>
      <c r="H150" s="507"/>
      <c r="I150" s="507"/>
      <c r="J150" s="507"/>
      <c r="K150" s="507"/>
      <c r="L150" s="507"/>
      <c r="M150" s="507"/>
      <c r="N150" s="507"/>
      <c r="O150" s="507"/>
      <c r="P150" s="507"/>
      <c r="Q150" s="507"/>
      <c r="R150" s="507"/>
      <c r="S150" s="507"/>
      <c r="T150" s="507"/>
      <c r="U150" s="507"/>
      <c r="V150" s="507"/>
      <c r="W150" s="507"/>
      <c r="X150" s="507"/>
      <c r="Y150" s="507"/>
      <c r="Z150" s="508"/>
    </row>
    <row r="151" spans="2:26">
      <c r="B151" s="505"/>
      <c r="C151" s="507"/>
      <c r="D151" s="507"/>
      <c r="E151" s="507"/>
      <c r="F151" s="507"/>
      <c r="G151" s="507"/>
      <c r="H151" s="507"/>
      <c r="I151" s="507"/>
      <c r="J151" s="507"/>
      <c r="K151" s="507"/>
      <c r="L151" s="507"/>
      <c r="M151" s="507"/>
      <c r="N151" s="507"/>
      <c r="O151" s="507"/>
      <c r="P151" s="507"/>
      <c r="Q151" s="507"/>
      <c r="R151" s="507"/>
      <c r="S151" s="507"/>
      <c r="T151" s="507"/>
      <c r="U151" s="507"/>
      <c r="V151" s="507"/>
      <c r="W151" s="507"/>
      <c r="X151" s="507"/>
      <c r="Y151" s="507"/>
      <c r="Z151" s="508"/>
    </row>
    <row r="152" spans="2:26">
      <c r="B152" s="505"/>
      <c r="C152" s="507"/>
      <c r="D152" s="507"/>
      <c r="E152" s="507"/>
      <c r="F152" s="507"/>
      <c r="G152" s="507"/>
      <c r="H152" s="507"/>
      <c r="I152" s="507"/>
      <c r="J152" s="507"/>
      <c r="K152" s="507"/>
      <c r="L152" s="507"/>
      <c r="M152" s="507"/>
      <c r="N152" s="507"/>
      <c r="O152" s="507"/>
      <c r="P152" s="507"/>
      <c r="Q152" s="507"/>
      <c r="R152" s="507"/>
      <c r="S152" s="507"/>
      <c r="T152" s="507"/>
      <c r="U152" s="507"/>
      <c r="V152" s="507"/>
      <c r="W152" s="507"/>
      <c r="X152" s="507"/>
      <c r="Y152" s="507"/>
      <c r="Z152" s="508"/>
    </row>
    <row r="153" spans="2:26">
      <c r="B153" s="505"/>
      <c r="C153" s="507"/>
      <c r="D153" s="507"/>
      <c r="E153" s="507"/>
      <c r="F153" s="507"/>
      <c r="G153" s="507"/>
      <c r="H153" s="507"/>
      <c r="I153" s="507"/>
      <c r="J153" s="507"/>
      <c r="K153" s="507"/>
      <c r="L153" s="507"/>
      <c r="M153" s="507"/>
      <c r="N153" s="507"/>
      <c r="O153" s="507"/>
      <c r="P153" s="507"/>
      <c r="Q153" s="507"/>
      <c r="R153" s="507"/>
      <c r="S153" s="507"/>
      <c r="T153" s="507"/>
      <c r="U153" s="507"/>
      <c r="V153" s="507"/>
      <c r="W153" s="507"/>
      <c r="X153" s="507"/>
      <c r="Y153" s="507"/>
      <c r="Z153" s="508"/>
    </row>
    <row r="154" spans="2:26">
      <c r="B154" s="505"/>
      <c r="C154" s="507"/>
      <c r="D154" s="507"/>
      <c r="E154" s="507"/>
      <c r="F154" s="507"/>
      <c r="G154" s="507"/>
      <c r="H154" s="507"/>
      <c r="I154" s="507"/>
      <c r="J154" s="507"/>
      <c r="K154" s="507"/>
      <c r="L154" s="507"/>
      <c r="M154" s="507"/>
      <c r="N154" s="507"/>
      <c r="O154" s="507"/>
      <c r="P154" s="507"/>
      <c r="Q154" s="507"/>
      <c r="R154" s="507"/>
      <c r="S154" s="507"/>
      <c r="T154" s="507"/>
      <c r="U154" s="507"/>
      <c r="V154" s="507"/>
      <c r="W154" s="507"/>
      <c r="X154" s="507"/>
      <c r="Y154" s="507"/>
      <c r="Z154" s="508"/>
    </row>
    <row r="155" spans="2:26">
      <c r="B155" s="505"/>
      <c r="C155" s="507"/>
      <c r="D155" s="507"/>
      <c r="E155" s="507"/>
      <c r="F155" s="507"/>
      <c r="G155" s="507"/>
      <c r="H155" s="507"/>
      <c r="I155" s="507"/>
      <c r="J155" s="507"/>
      <c r="K155" s="507"/>
      <c r="L155" s="507"/>
      <c r="M155" s="507"/>
      <c r="N155" s="507"/>
      <c r="O155" s="507"/>
      <c r="P155" s="507"/>
      <c r="Q155" s="507"/>
      <c r="R155" s="507"/>
      <c r="S155" s="507"/>
      <c r="T155" s="507"/>
      <c r="U155" s="507"/>
      <c r="V155" s="507"/>
      <c r="W155" s="507"/>
      <c r="X155" s="507"/>
      <c r="Y155" s="507"/>
      <c r="Z155" s="508"/>
    </row>
    <row r="156" spans="2:26">
      <c r="B156" s="505"/>
      <c r="C156" s="507"/>
      <c r="D156" s="507"/>
      <c r="E156" s="507"/>
      <c r="F156" s="507"/>
      <c r="G156" s="507"/>
      <c r="H156" s="507"/>
      <c r="I156" s="507"/>
      <c r="J156" s="507"/>
      <c r="K156" s="507"/>
      <c r="L156" s="507"/>
      <c r="M156" s="507"/>
      <c r="N156" s="507"/>
      <c r="O156" s="507"/>
      <c r="P156" s="507"/>
      <c r="Q156" s="507"/>
      <c r="R156" s="507"/>
      <c r="S156" s="507"/>
      <c r="T156" s="507"/>
      <c r="U156" s="507"/>
      <c r="V156" s="507"/>
      <c r="W156" s="507"/>
      <c r="X156" s="507"/>
      <c r="Y156" s="507"/>
      <c r="Z156" s="508"/>
    </row>
    <row r="157" spans="2:26">
      <c r="B157" s="505"/>
      <c r="C157" s="507"/>
      <c r="D157" s="507"/>
      <c r="E157" s="507"/>
      <c r="F157" s="507"/>
      <c r="G157" s="507"/>
      <c r="H157" s="507"/>
      <c r="I157" s="507"/>
      <c r="J157" s="507"/>
      <c r="K157" s="507"/>
      <c r="L157" s="507"/>
      <c r="M157" s="507"/>
      <c r="N157" s="507"/>
      <c r="O157" s="507"/>
      <c r="P157" s="507"/>
      <c r="Q157" s="507"/>
      <c r="R157" s="507"/>
      <c r="S157" s="507"/>
      <c r="T157" s="507"/>
      <c r="U157" s="507"/>
      <c r="V157" s="507"/>
      <c r="W157" s="507"/>
      <c r="X157" s="507"/>
      <c r="Y157" s="507"/>
      <c r="Z157" s="508"/>
    </row>
    <row r="158" spans="2:26">
      <c r="B158" s="505"/>
      <c r="C158" s="507"/>
      <c r="D158" s="507"/>
      <c r="E158" s="507"/>
      <c r="F158" s="507"/>
      <c r="G158" s="507"/>
      <c r="H158" s="507"/>
      <c r="I158" s="507"/>
      <c r="J158" s="507"/>
      <c r="K158" s="507"/>
      <c r="L158" s="507"/>
      <c r="M158" s="507"/>
      <c r="N158" s="507"/>
      <c r="O158" s="507"/>
      <c r="P158" s="507"/>
      <c r="Q158" s="507"/>
      <c r="R158" s="507"/>
      <c r="S158" s="507"/>
      <c r="T158" s="507"/>
      <c r="U158" s="507"/>
      <c r="V158" s="507"/>
      <c r="W158" s="507"/>
      <c r="X158" s="507"/>
      <c r="Y158" s="507"/>
      <c r="Z158" s="508"/>
    </row>
    <row r="159" spans="2:26">
      <c r="B159" s="505"/>
      <c r="C159" s="507"/>
      <c r="D159" s="507"/>
      <c r="E159" s="507"/>
      <c r="F159" s="507"/>
      <c r="G159" s="507"/>
      <c r="H159" s="507"/>
      <c r="I159" s="507"/>
      <c r="J159" s="507"/>
      <c r="K159" s="507"/>
      <c r="L159" s="507"/>
      <c r="M159" s="507"/>
      <c r="N159" s="507"/>
      <c r="O159" s="507"/>
      <c r="P159" s="507"/>
      <c r="Q159" s="507"/>
      <c r="R159" s="507"/>
      <c r="S159" s="507"/>
      <c r="T159" s="507"/>
      <c r="U159" s="507"/>
      <c r="V159" s="507"/>
      <c r="W159" s="507"/>
      <c r="X159" s="507"/>
      <c r="Y159" s="507"/>
      <c r="Z159" s="508"/>
    </row>
    <row r="160" spans="2:26">
      <c r="B160" s="505"/>
      <c r="C160" s="507"/>
      <c r="D160" s="507"/>
      <c r="E160" s="507"/>
      <c r="F160" s="507"/>
      <c r="G160" s="507"/>
      <c r="H160" s="507"/>
      <c r="I160" s="507"/>
      <c r="J160" s="507"/>
      <c r="K160" s="507"/>
      <c r="L160" s="507"/>
      <c r="M160" s="507"/>
      <c r="N160" s="507"/>
      <c r="O160" s="507"/>
      <c r="P160" s="507"/>
      <c r="Q160" s="507"/>
      <c r="R160" s="507"/>
      <c r="S160" s="507"/>
      <c r="T160" s="507"/>
      <c r="U160" s="507"/>
      <c r="V160" s="507"/>
      <c r="W160" s="507"/>
      <c r="X160" s="507"/>
      <c r="Y160" s="507"/>
      <c r="Z160" s="508"/>
    </row>
    <row r="161" spans="2:26">
      <c r="B161" s="505"/>
      <c r="C161" s="507"/>
      <c r="D161" s="507"/>
      <c r="E161" s="507"/>
      <c r="F161" s="507"/>
      <c r="G161" s="507"/>
      <c r="H161" s="507"/>
      <c r="I161" s="507"/>
      <c r="J161" s="507"/>
      <c r="K161" s="507"/>
      <c r="L161" s="507"/>
      <c r="M161" s="507"/>
      <c r="N161" s="507"/>
      <c r="O161" s="507"/>
      <c r="P161" s="507"/>
      <c r="Q161" s="507"/>
      <c r="R161" s="507"/>
      <c r="S161" s="507"/>
      <c r="T161" s="507"/>
      <c r="U161" s="507"/>
      <c r="V161" s="507"/>
      <c r="W161" s="507"/>
      <c r="X161" s="507"/>
      <c r="Y161" s="507"/>
      <c r="Z161" s="508"/>
    </row>
    <row r="162" spans="2:26">
      <c r="B162" s="505"/>
      <c r="C162" s="507"/>
      <c r="D162" s="507"/>
      <c r="E162" s="507"/>
      <c r="F162" s="507"/>
      <c r="G162" s="507"/>
      <c r="H162" s="507"/>
      <c r="I162" s="507"/>
      <c r="J162" s="507"/>
      <c r="K162" s="507"/>
      <c r="L162" s="507"/>
      <c r="M162" s="507"/>
      <c r="N162" s="507"/>
      <c r="O162" s="507"/>
      <c r="P162" s="507"/>
      <c r="Q162" s="507"/>
      <c r="R162" s="507"/>
      <c r="S162" s="507"/>
      <c r="T162" s="507"/>
      <c r="U162" s="507"/>
      <c r="V162" s="507"/>
      <c r="W162" s="507"/>
      <c r="X162" s="507"/>
      <c r="Y162" s="507"/>
      <c r="Z162" s="508"/>
    </row>
    <row r="163" spans="2:26">
      <c r="B163" s="505"/>
      <c r="C163" s="507"/>
      <c r="D163" s="507"/>
      <c r="E163" s="507"/>
      <c r="F163" s="507"/>
      <c r="G163" s="507"/>
      <c r="H163" s="507"/>
      <c r="I163" s="507"/>
      <c r="J163" s="507"/>
      <c r="K163" s="507"/>
      <c r="L163" s="507"/>
      <c r="M163" s="507"/>
      <c r="N163" s="507"/>
      <c r="O163" s="507"/>
      <c r="P163" s="507"/>
      <c r="Q163" s="507"/>
      <c r="R163" s="507"/>
      <c r="S163" s="507"/>
      <c r="T163" s="507"/>
      <c r="U163" s="507"/>
      <c r="V163" s="507"/>
      <c r="W163" s="507"/>
      <c r="X163" s="507"/>
      <c r="Y163" s="507"/>
      <c r="Z163" s="508"/>
    </row>
    <row r="164" spans="2:26">
      <c r="B164" s="505"/>
      <c r="C164" s="507"/>
      <c r="D164" s="507"/>
      <c r="E164" s="507"/>
      <c r="F164" s="507"/>
      <c r="G164" s="507"/>
      <c r="H164" s="507"/>
      <c r="I164" s="507"/>
      <c r="J164" s="507"/>
      <c r="K164" s="507"/>
      <c r="L164" s="507"/>
      <c r="M164" s="507"/>
      <c r="N164" s="507"/>
      <c r="O164" s="507"/>
      <c r="P164" s="507"/>
      <c r="Q164" s="507"/>
      <c r="R164" s="507"/>
      <c r="S164" s="507"/>
      <c r="T164" s="507"/>
      <c r="U164" s="507"/>
      <c r="V164" s="507"/>
      <c r="W164" s="507"/>
      <c r="X164" s="507"/>
      <c r="Y164" s="507"/>
      <c r="Z164" s="508"/>
    </row>
    <row r="165" spans="2:26">
      <c r="B165" s="505"/>
      <c r="C165" s="507"/>
      <c r="D165" s="507"/>
      <c r="E165" s="507"/>
      <c r="F165" s="507"/>
      <c r="G165" s="507"/>
      <c r="H165" s="507"/>
      <c r="I165" s="507"/>
      <c r="J165" s="507"/>
      <c r="K165" s="507"/>
      <c r="L165" s="507"/>
      <c r="M165" s="507"/>
      <c r="N165" s="507"/>
      <c r="O165" s="507"/>
      <c r="P165" s="507"/>
      <c r="Q165" s="507"/>
      <c r="R165" s="507"/>
      <c r="S165" s="507"/>
      <c r="T165" s="507"/>
      <c r="U165" s="507"/>
      <c r="V165" s="507"/>
      <c r="W165" s="507"/>
      <c r="X165" s="507"/>
      <c r="Y165" s="507"/>
      <c r="Z165" s="508"/>
    </row>
    <row r="166" spans="2:26">
      <c r="B166" s="505"/>
      <c r="C166" s="507"/>
      <c r="D166" s="507"/>
      <c r="E166" s="507"/>
      <c r="F166" s="507"/>
      <c r="G166" s="507"/>
      <c r="H166" s="507"/>
      <c r="I166" s="507"/>
      <c r="J166" s="507"/>
      <c r="K166" s="507"/>
      <c r="L166" s="507"/>
      <c r="M166" s="507"/>
      <c r="N166" s="507"/>
      <c r="O166" s="507"/>
      <c r="P166" s="507"/>
      <c r="Q166" s="507"/>
      <c r="R166" s="507"/>
      <c r="S166" s="507"/>
      <c r="T166" s="507"/>
      <c r="U166" s="507"/>
      <c r="V166" s="507"/>
      <c r="W166" s="507"/>
      <c r="X166" s="507"/>
      <c r="Y166" s="507"/>
      <c r="Z166" s="508"/>
    </row>
    <row r="167" spans="2:26">
      <c r="B167" s="505"/>
      <c r="C167" s="507"/>
      <c r="D167" s="507"/>
      <c r="E167" s="507"/>
      <c r="F167" s="507"/>
      <c r="G167" s="507"/>
      <c r="H167" s="507"/>
      <c r="I167" s="507"/>
      <c r="J167" s="507"/>
      <c r="K167" s="507"/>
      <c r="L167" s="507"/>
      <c r="M167" s="507"/>
      <c r="N167" s="507"/>
      <c r="O167" s="507"/>
      <c r="P167" s="507"/>
      <c r="Q167" s="507"/>
      <c r="R167" s="507"/>
      <c r="S167" s="507"/>
      <c r="T167" s="507"/>
      <c r="U167" s="507"/>
      <c r="V167" s="507"/>
      <c r="W167" s="507"/>
      <c r="X167" s="507"/>
      <c r="Y167" s="507"/>
      <c r="Z167" s="508"/>
    </row>
    <row r="168" spans="2:26">
      <c r="B168" s="505"/>
      <c r="C168" s="507"/>
      <c r="D168" s="507"/>
      <c r="E168" s="507"/>
      <c r="F168" s="507"/>
      <c r="G168" s="507"/>
      <c r="H168" s="507"/>
      <c r="I168" s="507"/>
      <c r="J168" s="507"/>
      <c r="K168" s="507"/>
      <c r="L168" s="507"/>
      <c r="M168" s="507"/>
      <c r="N168" s="507"/>
      <c r="O168" s="507"/>
      <c r="P168" s="507"/>
      <c r="Q168" s="507"/>
      <c r="R168" s="507"/>
      <c r="S168" s="507"/>
      <c r="T168" s="507"/>
      <c r="U168" s="507"/>
      <c r="V168" s="507"/>
      <c r="W168" s="507"/>
      <c r="X168" s="507"/>
      <c r="Y168" s="507"/>
      <c r="Z168" s="508"/>
    </row>
    <row r="169" spans="2:26">
      <c r="B169" s="505"/>
      <c r="C169" s="507"/>
      <c r="D169" s="507"/>
      <c r="E169" s="507"/>
      <c r="F169" s="507"/>
      <c r="G169" s="507"/>
      <c r="H169" s="507"/>
      <c r="I169" s="507"/>
      <c r="J169" s="507"/>
      <c r="K169" s="507"/>
      <c r="L169" s="507"/>
      <c r="M169" s="507"/>
      <c r="N169" s="507"/>
      <c r="O169" s="507"/>
      <c r="P169" s="507"/>
      <c r="Q169" s="507"/>
      <c r="R169" s="507"/>
      <c r="S169" s="507"/>
      <c r="T169" s="507"/>
      <c r="U169" s="507"/>
      <c r="V169" s="507"/>
      <c r="W169" s="507"/>
      <c r="X169" s="507"/>
      <c r="Y169" s="507"/>
      <c r="Z169" s="508"/>
    </row>
    <row r="170" spans="2:26">
      <c r="B170" s="505"/>
      <c r="C170" s="507"/>
      <c r="D170" s="507"/>
      <c r="E170" s="507"/>
      <c r="F170" s="507"/>
      <c r="G170" s="507"/>
      <c r="H170" s="507"/>
      <c r="I170" s="507"/>
      <c r="J170" s="507"/>
      <c r="K170" s="507"/>
      <c r="L170" s="507"/>
      <c r="M170" s="507"/>
      <c r="N170" s="507"/>
      <c r="O170" s="507"/>
      <c r="P170" s="507"/>
      <c r="Q170" s="507"/>
      <c r="R170" s="507"/>
      <c r="S170" s="507"/>
      <c r="T170" s="507"/>
      <c r="U170" s="507"/>
      <c r="V170" s="507"/>
      <c r="W170" s="507"/>
      <c r="X170" s="507"/>
      <c r="Y170" s="507"/>
      <c r="Z170" s="508"/>
    </row>
    <row r="171" spans="2:26">
      <c r="B171" s="505"/>
      <c r="C171" s="507"/>
      <c r="D171" s="507"/>
      <c r="E171" s="507"/>
      <c r="F171" s="507"/>
      <c r="G171" s="507"/>
      <c r="H171" s="507"/>
      <c r="I171" s="507"/>
      <c r="J171" s="507"/>
      <c r="K171" s="507"/>
      <c r="L171" s="507"/>
      <c r="M171" s="507"/>
      <c r="N171" s="507"/>
      <c r="O171" s="507"/>
      <c r="P171" s="507"/>
      <c r="Q171" s="507"/>
      <c r="R171" s="507"/>
      <c r="S171" s="507"/>
      <c r="T171" s="507"/>
      <c r="U171" s="507"/>
      <c r="V171" s="507"/>
      <c r="W171" s="507"/>
      <c r="X171" s="507"/>
      <c r="Y171" s="507"/>
      <c r="Z171" s="508"/>
    </row>
    <row r="172" spans="2:26">
      <c r="B172" s="505"/>
      <c r="C172" s="507"/>
      <c r="D172" s="507"/>
      <c r="E172" s="507"/>
      <c r="F172" s="507"/>
      <c r="G172" s="507"/>
      <c r="H172" s="507"/>
      <c r="I172" s="507"/>
      <c r="J172" s="507"/>
      <c r="K172" s="507"/>
      <c r="L172" s="507"/>
      <c r="M172" s="507"/>
      <c r="N172" s="507"/>
      <c r="O172" s="507"/>
      <c r="P172" s="507"/>
      <c r="Q172" s="507"/>
      <c r="R172" s="507"/>
      <c r="S172" s="507"/>
      <c r="T172" s="507"/>
      <c r="U172" s="507"/>
      <c r="V172" s="507"/>
      <c r="W172" s="507"/>
      <c r="X172" s="507"/>
      <c r="Y172" s="507"/>
      <c r="Z172" s="508"/>
    </row>
    <row r="173" spans="2:26">
      <c r="B173" s="505"/>
      <c r="C173" s="507"/>
      <c r="D173" s="507"/>
      <c r="E173" s="507"/>
      <c r="F173" s="507"/>
      <c r="G173" s="507"/>
      <c r="H173" s="507"/>
      <c r="I173" s="507"/>
      <c r="J173" s="507"/>
      <c r="K173" s="507"/>
      <c r="L173" s="507"/>
      <c r="M173" s="507"/>
      <c r="N173" s="507"/>
      <c r="O173" s="507"/>
      <c r="P173" s="507"/>
      <c r="Q173" s="507"/>
      <c r="R173" s="507"/>
      <c r="S173" s="507"/>
      <c r="T173" s="507"/>
      <c r="U173" s="507"/>
      <c r="V173" s="507"/>
      <c r="W173" s="507"/>
      <c r="X173" s="507"/>
      <c r="Y173" s="507"/>
      <c r="Z173" s="508"/>
    </row>
    <row r="174" spans="2:26">
      <c r="B174" s="505"/>
      <c r="C174" s="507"/>
      <c r="D174" s="507"/>
      <c r="E174" s="507"/>
      <c r="F174" s="507"/>
      <c r="G174" s="507"/>
      <c r="H174" s="507"/>
      <c r="I174" s="507"/>
      <c r="J174" s="507"/>
      <c r="K174" s="507"/>
      <c r="L174" s="507"/>
      <c r="M174" s="507"/>
      <c r="N174" s="507"/>
      <c r="O174" s="507"/>
      <c r="P174" s="507"/>
      <c r="Q174" s="507"/>
      <c r="R174" s="507"/>
      <c r="S174" s="507"/>
      <c r="T174" s="507"/>
      <c r="U174" s="507"/>
      <c r="V174" s="507"/>
      <c r="W174" s="507"/>
      <c r="X174" s="507"/>
      <c r="Y174" s="507"/>
      <c r="Z174" s="508"/>
    </row>
    <row r="175" spans="2:26">
      <c r="B175" s="505"/>
      <c r="C175" s="507"/>
      <c r="D175" s="507"/>
      <c r="E175" s="507"/>
      <c r="F175" s="507"/>
      <c r="G175" s="507"/>
      <c r="H175" s="507"/>
      <c r="I175" s="507"/>
      <c r="J175" s="507"/>
      <c r="K175" s="507"/>
      <c r="L175" s="507"/>
      <c r="M175" s="507"/>
      <c r="N175" s="507"/>
      <c r="O175" s="507"/>
      <c r="P175" s="507"/>
      <c r="Q175" s="507"/>
      <c r="R175" s="507"/>
      <c r="S175" s="507"/>
      <c r="T175" s="507"/>
      <c r="U175" s="507"/>
      <c r="V175" s="507"/>
      <c r="W175" s="507"/>
      <c r="X175" s="507"/>
      <c r="Y175" s="507"/>
      <c r="Z175" s="508"/>
    </row>
    <row r="176" spans="2:26">
      <c r="B176" s="505"/>
      <c r="C176" s="507"/>
      <c r="D176" s="507"/>
      <c r="E176" s="507"/>
      <c r="F176" s="507"/>
      <c r="G176" s="507"/>
      <c r="H176" s="507"/>
      <c r="I176" s="507"/>
      <c r="J176" s="507"/>
      <c r="K176" s="507"/>
      <c r="L176" s="507"/>
      <c r="M176" s="507"/>
      <c r="N176" s="507"/>
      <c r="O176" s="507"/>
      <c r="P176" s="507"/>
      <c r="Q176" s="507"/>
      <c r="R176" s="507"/>
      <c r="S176" s="507"/>
      <c r="T176" s="507"/>
      <c r="U176" s="507"/>
      <c r="V176" s="507"/>
      <c r="W176" s="507"/>
      <c r="X176" s="507"/>
      <c r="Y176" s="507"/>
      <c r="Z176" s="508"/>
    </row>
    <row r="177" spans="2:26">
      <c r="B177" s="505"/>
      <c r="C177" s="507"/>
      <c r="D177" s="507"/>
      <c r="E177" s="507"/>
      <c r="F177" s="507"/>
      <c r="G177" s="507"/>
      <c r="H177" s="507"/>
      <c r="I177" s="507"/>
      <c r="J177" s="507"/>
      <c r="K177" s="507"/>
      <c r="L177" s="507"/>
      <c r="M177" s="507"/>
      <c r="N177" s="507"/>
      <c r="O177" s="507"/>
      <c r="P177" s="507"/>
      <c r="Q177" s="507"/>
      <c r="R177" s="507"/>
      <c r="S177" s="507"/>
      <c r="T177" s="507"/>
      <c r="U177" s="507"/>
      <c r="V177" s="507"/>
      <c r="W177" s="507"/>
      <c r="X177" s="507"/>
      <c r="Y177" s="507"/>
      <c r="Z177" s="508"/>
    </row>
    <row r="178" spans="2:26">
      <c r="B178" s="505"/>
      <c r="C178" s="507"/>
      <c r="D178" s="507"/>
      <c r="E178" s="507"/>
      <c r="F178" s="507"/>
      <c r="G178" s="507"/>
      <c r="H178" s="507"/>
      <c r="I178" s="507"/>
      <c r="J178" s="507"/>
      <c r="K178" s="507"/>
      <c r="L178" s="507"/>
      <c r="M178" s="507"/>
      <c r="N178" s="507"/>
      <c r="O178" s="507"/>
      <c r="P178" s="507"/>
      <c r="Q178" s="507"/>
      <c r="R178" s="507"/>
      <c r="S178" s="507"/>
      <c r="T178" s="507"/>
      <c r="U178" s="507"/>
      <c r="V178" s="507"/>
      <c r="W178" s="507"/>
      <c r="X178" s="507"/>
      <c r="Y178" s="507"/>
      <c r="Z178" s="508"/>
    </row>
    <row r="179" spans="2:26">
      <c r="B179" s="505"/>
      <c r="C179" s="507"/>
      <c r="D179" s="507"/>
      <c r="E179" s="507"/>
      <c r="F179" s="507"/>
      <c r="G179" s="507"/>
      <c r="H179" s="507"/>
      <c r="I179" s="507"/>
      <c r="J179" s="507"/>
      <c r="K179" s="507"/>
      <c r="L179" s="507"/>
      <c r="M179" s="507"/>
      <c r="N179" s="507"/>
      <c r="O179" s="507"/>
      <c r="P179" s="507"/>
      <c r="Q179" s="507"/>
      <c r="R179" s="507"/>
      <c r="S179" s="507"/>
      <c r="T179" s="507"/>
      <c r="U179" s="507"/>
      <c r="V179" s="507"/>
      <c r="W179" s="507"/>
      <c r="X179" s="507"/>
      <c r="Y179" s="507"/>
      <c r="Z179" s="508"/>
    </row>
    <row r="180" spans="2:26">
      <c r="B180" s="505"/>
      <c r="C180" s="507"/>
      <c r="D180" s="507"/>
      <c r="E180" s="507"/>
      <c r="F180" s="507"/>
      <c r="G180" s="507"/>
      <c r="H180" s="507"/>
      <c r="I180" s="507"/>
      <c r="J180" s="507"/>
      <c r="K180" s="507"/>
      <c r="L180" s="507"/>
      <c r="M180" s="507"/>
      <c r="N180" s="507"/>
      <c r="O180" s="507"/>
      <c r="P180" s="507"/>
      <c r="Q180" s="507"/>
      <c r="R180" s="507"/>
      <c r="S180" s="507"/>
      <c r="T180" s="507"/>
      <c r="U180" s="507"/>
      <c r="V180" s="507"/>
      <c r="W180" s="507"/>
      <c r="X180" s="507"/>
      <c r="Y180" s="507"/>
      <c r="Z180" s="508"/>
    </row>
    <row r="181" spans="2:26">
      <c r="B181" s="505"/>
      <c r="C181" s="507"/>
      <c r="D181" s="507"/>
      <c r="E181" s="507"/>
      <c r="F181" s="507"/>
      <c r="G181" s="507"/>
      <c r="H181" s="507"/>
      <c r="I181" s="507"/>
      <c r="J181" s="507"/>
      <c r="K181" s="507"/>
      <c r="L181" s="507"/>
      <c r="M181" s="507"/>
      <c r="N181" s="507"/>
      <c r="O181" s="507"/>
      <c r="P181" s="507"/>
      <c r="Q181" s="507"/>
      <c r="R181" s="507"/>
      <c r="S181" s="507"/>
      <c r="T181" s="507"/>
      <c r="U181" s="507"/>
      <c r="V181" s="507"/>
      <c r="W181" s="507"/>
      <c r="X181" s="507"/>
      <c r="Y181" s="507"/>
      <c r="Z181" s="508"/>
    </row>
    <row r="182" spans="2:26">
      <c r="B182" s="505"/>
      <c r="C182" s="507"/>
      <c r="D182" s="507"/>
      <c r="E182" s="507"/>
      <c r="F182" s="507"/>
      <c r="G182" s="507"/>
      <c r="H182" s="507"/>
      <c r="I182" s="507"/>
      <c r="J182" s="507"/>
      <c r="K182" s="507"/>
      <c r="L182" s="507"/>
      <c r="M182" s="507"/>
      <c r="N182" s="507"/>
      <c r="O182" s="507"/>
      <c r="P182" s="507"/>
      <c r="Q182" s="507"/>
      <c r="R182" s="507"/>
      <c r="S182" s="507"/>
      <c r="T182" s="507"/>
      <c r="U182" s="507"/>
      <c r="V182" s="507"/>
      <c r="W182" s="507"/>
      <c r="X182" s="507"/>
      <c r="Y182" s="507"/>
      <c r="Z182" s="508"/>
    </row>
    <row r="183" spans="2:26">
      <c r="B183" s="505"/>
      <c r="C183" s="507"/>
      <c r="D183" s="507"/>
      <c r="E183" s="507"/>
      <c r="F183" s="507"/>
      <c r="G183" s="507"/>
      <c r="H183" s="507"/>
      <c r="I183" s="507"/>
      <c r="J183" s="507"/>
      <c r="K183" s="507"/>
      <c r="L183" s="507"/>
      <c r="M183" s="507"/>
      <c r="N183" s="507"/>
      <c r="O183" s="507"/>
      <c r="P183" s="507"/>
      <c r="Q183" s="507"/>
      <c r="R183" s="507"/>
      <c r="S183" s="507"/>
      <c r="T183" s="507"/>
      <c r="U183" s="507"/>
      <c r="V183" s="507"/>
      <c r="W183" s="507"/>
      <c r="X183" s="507"/>
      <c r="Y183" s="507"/>
      <c r="Z183" s="508"/>
    </row>
    <row r="184" spans="2:26">
      <c r="B184" s="505"/>
      <c r="C184" s="507"/>
      <c r="D184" s="507"/>
      <c r="E184" s="507"/>
      <c r="F184" s="507"/>
      <c r="G184" s="507"/>
      <c r="H184" s="507"/>
      <c r="I184" s="507"/>
      <c r="J184" s="507"/>
      <c r="K184" s="507"/>
      <c r="L184" s="507"/>
      <c r="M184" s="507"/>
      <c r="N184" s="507"/>
      <c r="O184" s="507"/>
      <c r="P184" s="507"/>
      <c r="Q184" s="507"/>
      <c r="R184" s="507"/>
      <c r="S184" s="507"/>
      <c r="T184" s="507"/>
      <c r="U184" s="507"/>
      <c r="V184" s="507"/>
      <c r="W184" s="507"/>
      <c r="X184" s="507"/>
      <c r="Y184" s="507"/>
      <c r="Z184" s="508"/>
    </row>
    <row r="185" spans="2:26">
      <c r="B185" s="505"/>
      <c r="C185" s="507"/>
      <c r="D185" s="507"/>
      <c r="E185" s="507"/>
      <c r="F185" s="507"/>
      <c r="G185" s="507"/>
      <c r="H185" s="507"/>
      <c r="I185" s="507"/>
      <c r="J185" s="507"/>
      <c r="K185" s="507"/>
      <c r="L185" s="507"/>
      <c r="M185" s="507"/>
      <c r="N185" s="507"/>
      <c r="O185" s="507"/>
      <c r="P185" s="507"/>
      <c r="Q185" s="507"/>
      <c r="R185" s="507"/>
      <c r="S185" s="507"/>
      <c r="T185" s="507"/>
      <c r="U185" s="507"/>
      <c r="V185" s="507"/>
      <c r="W185" s="507"/>
      <c r="X185" s="507"/>
      <c r="Y185" s="507"/>
      <c r="Z185" s="508"/>
    </row>
    <row r="186" spans="2:26">
      <c r="B186" s="505"/>
      <c r="C186" s="507"/>
      <c r="D186" s="507"/>
      <c r="E186" s="507"/>
      <c r="F186" s="507"/>
      <c r="G186" s="507"/>
      <c r="H186" s="507"/>
      <c r="I186" s="507"/>
      <c r="J186" s="507"/>
      <c r="K186" s="507"/>
      <c r="L186" s="507"/>
      <c r="M186" s="507"/>
      <c r="N186" s="507"/>
      <c r="O186" s="507"/>
      <c r="P186" s="507"/>
      <c r="Q186" s="507"/>
      <c r="R186" s="507"/>
      <c r="S186" s="507"/>
      <c r="T186" s="507"/>
      <c r="U186" s="507"/>
      <c r="V186" s="507"/>
      <c r="W186" s="507"/>
      <c r="X186" s="507"/>
      <c r="Y186" s="507"/>
      <c r="Z186" s="508"/>
    </row>
    <row r="187" spans="2:26">
      <c r="B187" s="505"/>
      <c r="C187" s="507"/>
      <c r="D187" s="507"/>
      <c r="E187" s="507"/>
      <c r="F187" s="507"/>
      <c r="G187" s="507"/>
      <c r="H187" s="507"/>
      <c r="I187" s="507"/>
      <c r="J187" s="507"/>
      <c r="K187" s="507"/>
      <c r="L187" s="507"/>
      <c r="M187" s="507"/>
      <c r="N187" s="507"/>
      <c r="O187" s="507"/>
      <c r="P187" s="507"/>
      <c r="Q187" s="507"/>
      <c r="R187" s="507"/>
      <c r="S187" s="507"/>
      <c r="T187" s="507"/>
      <c r="U187" s="507"/>
      <c r="V187" s="507"/>
      <c r="W187" s="507"/>
      <c r="X187" s="507"/>
      <c r="Y187" s="507"/>
      <c r="Z187" s="508"/>
    </row>
    <row r="188" spans="2:26">
      <c r="B188" s="505"/>
      <c r="C188" s="507"/>
      <c r="D188" s="507"/>
      <c r="E188" s="507"/>
      <c r="F188" s="507"/>
      <c r="G188" s="507"/>
      <c r="H188" s="507"/>
      <c r="I188" s="507"/>
      <c r="J188" s="507"/>
      <c r="K188" s="507"/>
      <c r="L188" s="507"/>
      <c r="M188" s="507"/>
      <c r="N188" s="507"/>
      <c r="O188" s="507"/>
      <c r="P188" s="507"/>
      <c r="Q188" s="507"/>
      <c r="R188" s="507"/>
      <c r="S188" s="507"/>
      <c r="T188" s="507"/>
      <c r="U188" s="507"/>
      <c r="V188" s="507"/>
      <c r="W188" s="507"/>
      <c r="X188" s="507"/>
      <c r="Y188" s="507"/>
      <c r="Z188" s="508"/>
    </row>
    <row r="189" spans="2:26">
      <c r="B189" s="505"/>
      <c r="C189" s="507"/>
      <c r="D189" s="507"/>
      <c r="E189" s="507"/>
      <c r="F189" s="507"/>
      <c r="G189" s="507"/>
      <c r="H189" s="507"/>
      <c r="I189" s="507"/>
      <c r="J189" s="507"/>
      <c r="K189" s="507"/>
      <c r="L189" s="507"/>
      <c r="M189" s="507"/>
      <c r="N189" s="507"/>
      <c r="O189" s="507"/>
      <c r="P189" s="507"/>
      <c r="Q189" s="507"/>
      <c r="R189" s="507"/>
      <c r="S189" s="507"/>
      <c r="T189" s="507"/>
      <c r="U189" s="507"/>
      <c r="V189" s="507"/>
      <c r="W189" s="507"/>
      <c r="X189" s="507"/>
      <c r="Y189" s="507"/>
      <c r="Z189" s="508"/>
    </row>
    <row r="190" spans="2:26">
      <c r="B190" s="505"/>
      <c r="C190" s="507"/>
      <c r="D190" s="507"/>
      <c r="E190" s="507"/>
      <c r="F190" s="507"/>
      <c r="G190" s="507"/>
      <c r="H190" s="507"/>
      <c r="I190" s="507"/>
      <c r="J190" s="507"/>
      <c r="K190" s="507"/>
      <c r="L190" s="507"/>
      <c r="M190" s="507"/>
      <c r="N190" s="507"/>
      <c r="O190" s="507"/>
      <c r="P190" s="507"/>
      <c r="Q190" s="507"/>
      <c r="R190" s="507"/>
      <c r="S190" s="507"/>
      <c r="T190" s="507"/>
      <c r="U190" s="507"/>
      <c r="V190" s="507"/>
      <c r="W190" s="507"/>
      <c r="X190" s="507"/>
      <c r="Y190" s="507"/>
      <c r="Z190" s="508"/>
    </row>
    <row r="191" spans="2:26">
      <c r="B191" s="505"/>
      <c r="C191" s="507"/>
      <c r="D191" s="507"/>
      <c r="E191" s="507"/>
      <c r="F191" s="507"/>
      <c r="G191" s="507"/>
      <c r="H191" s="507"/>
      <c r="I191" s="507"/>
      <c r="J191" s="507"/>
      <c r="K191" s="507"/>
      <c r="L191" s="507"/>
      <c r="M191" s="507"/>
      <c r="N191" s="507"/>
      <c r="O191" s="507"/>
      <c r="P191" s="507"/>
      <c r="Q191" s="507"/>
      <c r="R191" s="507"/>
      <c r="S191" s="507"/>
      <c r="T191" s="507"/>
      <c r="U191" s="507"/>
      <c r="V191" s="507"/>
      <c r="W191" s="507"/>
      <c r="X191" s="507"/>
      <c r="Y191" s="507"/>
      <c r="Z191" s="508"/>
    </row>
    <row r="192" spans="2:26">
      <c r="B192" s="505"/>
      <c r="C192" s="507"/>
      <c r="D192" s="507"/>
      <c r="E192" s="507"/>
      <c r="F192" s="507"/>
      <c r="G192" s="507"/>
      <c r="H192" s="507"/>
      <c r="I192" s="507"/>
      <c r="J192" s="507"/>
      <c r="K192" s="507"/>
      <c r="L192" s="507"/>
      <c r="M192" s="507"/>
      <c r="N192" s="507"/>
      <c r="O192" s="507"/>
      <c r="P192" s="507"/>
      <c r="Q192" s="507"/>
      <c r="R192" s="507"/>
      <c r="S192" s="507"/>
      <c r="T192" s="507"/>
      <c r="U192" s="507"/>
      <c r="V192" s="507"/>
      <c r="W192" s="507"/>
      <c r="X192" s="507"/>
      <c r="Y192" s="507"/>
      <c r="Z192" s="508"/>
    </row>
    <row r="193" spans="2:26">
      <c r="B193" s="509"/>
      <c r="C193" s="510"/>
      <c r="D193" s="510"/>
      <c r="E193" s="510"/>
      <c r="F193" s="510"/>
      <c r="G193" s="510"/>
      <c r="H193" s="510"/>
      <c r="I193" s="510"/>
      <c r="J193" s="510"/>
      <c r="K193" s="510"/>
      <c r="L193" s="510"/>
      <c r="M193" s="510"/>
      <c r="N193" s="510"/>
      <c r="O193" s="510"/>
      <c r="P193" s="510"/>
      <c r="Q193" s="510"/>
      <c r="R193" s="510"/>
      <c r="S193" s="510"/>
      <c r="T193" s="510"/>
      <c r="U193" s="510"/>
      <c r="V193" s="510"/>
      <c r="W193" s="510"/>
      <c r="X193" s="510"/>
      <c r="Y193" s="510"/>
      <c r="Z193" s="511"/>
    </row>
  </sheetData>
  <sheetProtection algorithmName="SHA-512" hashValue="gb8Q2WTMoTvqBA40wH2NZbkZU4wkZIUBmf44FkbXG6gbUJ3HhF9H0Hriw0wopaiNJ+GH8BKy323XF0WAJ8LNNw==" saltValue="O4PysPFiL0Ni5asJYbSfFQ==" spinCount="100000" sheet="1" scenarios="1" insertHyperlinks="0"/>
  <protectedRanges>
    <protectedRange sqref="F2 E5:F5 E6 E15:E19 F22:F24 L15:N18 B42:Z193" name="Bereich1"/>
  </protectedRanges>
  <mergeCells count="11">
    <mergeCell ref="U15:W15"/>
    <mergeCell ref="X15:Z15"/>
    <mergeCell ref="L16:N16"/>
    <mergeCell ref="L17:N17"/>
    <mergeCell ref="L18:N18"/>
    <mergeCell ref="L15:N15"/>
    <mergeCell ref="C2:E2"/>
    <mergeCell ref="F2:G2"/>
    <mergeCell ref="N5:N12"/>
    <mergeCell ref="L6:L11"/>
    <mergeCell ref="J13:M13"/>
  </mergeCells>
  <conditionalFormatting sqref="E19">
    <cfRule type="cellIs" dxfId="359" priority="4" stopIfTrue="1" operator="lessThan">
      <formula>1.2</formula>
    </cfRule>
  </conditionalFormatting>
  <conditionalFormatting sqref="F23">
    <cfRule type="expression" dxfId="358" priority="3">
      <formula>F23&lt;0.4*F24</formula>
    </cfRule>
  </conditionalFormatting>
  <conditionalFormatting sqref="F24">
    <cfRule type="expression" dxfId="357" priority="1">
      <formula>F24&lt;0.4*F23</formula>
    </cfRule>
  </conditionalFormatting>
  <conditionalFormatting sqref="H30:H36 H38:H39">
    <cfRule type="cellIs" dxfId="356" priority="5" stopIfTrue="1" operator="greaterThanOrEqual">
      <formula>100</formula>
    </cfRule>
    <cfRule type="cellIs" dxfId="355" priority="6" stopIfTrue="1" operator="lessThan">
      <formula>100</formula>
    </cfRule>
  </conditionalFormatting>
  <conditionalFormatting sqref="H37">
    <cfRule type="cellIs" dxfId="354" priority="7" stopIfTrue="1" operator="greaterThanOrEqual">
      <formula>100.01</formula>
    </cfRule>
    <cfRule type="cellIs" dxfId="353" priority="8" stopIfTrue="1" operator="lessThan">
      <formula>100.01</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K39" location="'Cover Sheet'!A1" display="BACK to COVER SHEET" xr:uid="{B9707582-0794-4E2F-A773-88C6EBD99B91}"/>
    <hyperlink ref="K39:S39" location="'Cover Sheet'!A1" display="BACK to COVER SHEET" xr:uid="{9EB977E3-88FB-466A-BEBB-04B153C1DE12}"/>
    <hyperlink ref="B17" location="'T1.1 Guidance Notes'!A1" display="Number of tubes" xr:uid="{C968A2E1-8DBA-4AEA-B0E0-CE64F59DC55E}"/>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zoomScaleNormal="100" zoomScaleSheetLayoutView="100" workbookViewId="0">
      <selection activeCell="J79" sqref="J7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8.53125" bestFit="1" customWidth="1"/>
    <col min="12" max="12" width="11.1328125" bestFit="1" customWidth="1"/>
    <col min="13" max="15" width="11.46484375" customWidth="1"/>
    <col min="16" max="16" width="3.46484375" customWidth="1"/>
  </cols>
  <sheetData>
    <row r="1" spans="2:15" ht="15">
      <c r="B1" s="1" t="s">
        <v>429</v>
      </c>
    </row>
    <row r="2" spans="2:15" ht="13.15">
      <c r="C2" s="1245" t="s">
        <v>351</v>
      </c>
      <c r="D2" s="1245"/>
      <c r="E2" s="1245"/>
      <c r="F2" s="1246" t="s">
        <v>207</v>
      </c>
      <c r="G2" s="1247"/>
    </row>
    <row r="4" spans="2:15" ht="26.25">
      <c r="B4" s="41" t="s">
        <v>326</v>
      </c>
      <c r="C4" s="41" t="s">
        <v>327</v>
      </c>
      <c r="D4" s="3"/>
      <c r="E4" s="52" t="s">
        <v>430</v>
      </c>
      <c r="F4" s="52" t="s">
        <v>431</v>
      </c>
      <c r="G4" s="52" t="s">
        <v>432</v>
      </c>
      <c r="H4" s="52" t="s">
        <v>433</v>
      </c>
      <c r="I4" s="77" t="s">
        <v>352</v>
      </c>
      <c r="J4" s="52" t="s">
        <v>353</v>
      </c>
      <c r="L4" s="3"/>
      <c r="M4" s="142" t="s">
        <v>354</v>
      </c>
      <c r="N4" s="142" t="s">
        <v>355</v>
      </c>
    </row>
    <row r="5" spans="2:15">
      <c r="B5" s="362" t="s">
        <v>329</v>
      </c>
      <c r="C5" s="35" t="s">
        <v>175</v>
      </c>
      <c r="E5" s="17" t="s">
        <v>175</v>
      </c>
      <c r="F5" s="17" t="s">
        <v>175</v>
      </c>
      <c r="G5" s="17" t="s">
        <v>175</v>
      </c>
      <c r="H5" s="67"/>
      <c r="I5" s="38" t="s">
        <v>179</v>
      </c>
      <c r="J5" s="67"/>
      <c r="L5" s="351" t="s">
        <v>356</v>
      </c>
      <c r="M5">
        <f>I22/1000</f>
        <v>0</v>
      </c>
      <c r="N5" s="140">
        <f>M5</f>
        <v>0</v>
      </c>
    </row>
    <row r="6" spans="2:15">
      <c r="B6" s="362" t="s">
        <v>357</v>
      </c>
      <c r="C6" s="35" t="s">
        <v>214</v>
      </c>
      <c r="E6" s="17" t="s">
        <v>214</v>
      </c>
      <c r="F6" s="17" t="s">
        <v>214</v>
      </c>
      <c r="G6" s="17" t="s">
        <v>214</v>
      </c>
      <c r="H6" s="69"/>
      <c r="I6" s="68" t="s">
        <v>358</v>
      </c>
      <c r="J6" s="69"/>
      <c r="L6" s="351" t="s">
        <v>359</v>
      </c>
      <c r="M6">
        <f>I21/1000</f>
        <v>0</v>
      </c>
      <c r="N6" s="140">
        <f>I20/1000</f>
        <v>0</v>
      </c>
    </row>
    <row r="7" spans="2:15">
      <c r="B7" s="42" t="s">
        <v>331</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51" t="s">
        <v>360</v>
      </c>
      <c r="M8" s="43">
        <f>M5*M6</f>
        <v>0</v>
      </c>
      <c r="N8" s="351" t="s">
        <v>361</v>
      </c>
      <c r="O8" s="43">
        <f>(M5*M6^3)/12</f>
        <v>0</v>
      </c>
    </row>
    <row r="9" spans="2:15" ht="15.75" customHeight="1">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t="e">
        <f>INDEX(Innertable,MATCH($B9,MaterialData!$B$6:$B$11,0),MATCH(I$7,MaterialData!$C$4:$R$4,0))</f>
        <v>#DIV/0!</v>
      </c>
      <c r="J9" s="51"/>
      <c r="L9" s="351" t="s">
        <v>362</v>
      </c>
      <c r="M9" s="43">
        <f>N5*N6</f>
        <v>0</v>
      </c>
      <c r="N9" s="351" t="s">
        <v>363</v>
      </c>
      <c r="O9" s="43">
        <f>(N5*N6^3)/12</f>
        <v>0</v>
      </c>
    </row>
    <row r="10" spans="2:15" ht="15.75" customHeight="1">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t="e">
        <f>INDEX(Innertable,MATCH($B10,MaterialData!$B$6:$B$11,0),MATCH(I$7,MaterialData!$C$4:$R$4,0))</f>
        <v>#DIV/0!</v>
      </c>
      <c r="J10" s="51"/>
      <c r="L10" s="351" t="s">
        <v>364</v>
      </c>
      <c r="M10">
        <f>M6/2</f>
        <v>0</v>
      </c>
      <c r="N10" s="351" t="s">
        <v>365</v>
      </c>
      <c r="O10" s="43" t="e">
        <f>O8+(M8*($M$12-M10)^2)</f>
        <v>#DIV/0!</v>
      </c>
    </row>
    <row r="11" spans="2:15" ht="15.75" customHeight="1">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51" t="s">
        <v>366</v>
      </c>
      <c r="M11">
        <f>(I18-0.5*I20)*0.001</f>
        <v>0</v>
      </c>
      <c r="N11" s="351" t="s">
        <v>367</v>
      </c>
      <c r="O11" s="43" t="e">
        <f>O9+(M9*($M$12-M11)^2)</f>
        <v>#DIV/0!</v>
      </c>
    </row>
    <row r="12" spans="2:15" ht="15.75" customHeight="1">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51" t="s">
        <v>368</v>
      </c>
      <c r="M12" s="141" t="e">
        <f>(M8*M10+M9*M11)/(M8+M9)</f>
        <v>#DIV/0!</v>
      </c>
      <c r="N12" s="351" t="s">
        <v>369</v>
      </c>
      <c r="O12" s="144" t="e">
        <f>SUM(O10:O11)</f>
        <v>#DIV/0!</v>
      </c>
    </row>
    <row r="13" spans="2:15">
      <c r="E13" s="4"/>
      <c r="G13" s="15"/>
      <c r="H13" s="69"/>
      <c r="J13" s="69"/>
      <c r="O13" s="43"/>
    </row>
    <row r="14" spans="2:15">
      <c r="B14" s="983" t="s">
        <v>370</v>
      </c>
      <c r="C14" s="35">
        <v>3</v>
      </c>
      <c r="E14" s="17">
        <v>1</v>
      </c>
      <c r="F14" s="17">
        <v>2</v>
      </c>
      <c r="G14" s="17">
        <v>0</v>
      </c>
      <c r="H14" s="69"/>
      <c r="J14" s="69"/>
      <c r="O14" s="43"/>
    </row>
    <row r="15" spans="2:15">
      <c r="B15" s="42" t="s">
        <v>332</v>
      </c>
      <c r="C15" s="35">
        <v>25.4</v>
      </c>
      <c r="E15" s="17">
        <v>28</v>
      </c>
      <c r="F15" s="17">
        <v>25</v>
      </c>
      <c r="G15" s="17">
        <v>25.4</v>
      </c>
      <c r="H15" s="69"/>
      <c r="J15" s="69"/>
      <c r="O15" s="43"/>
    </row>
    <row r="16" spans="2:15">
      <c r="B16" s="42" t="s">
        <v>333</v>
      </c>
      <c r="C16" s="35">
        <v>1.2</v>
      </c>
      <c r="E16" s="17">
        <v>1.5</v>
      </c>
      <c r="F16" s="17">
        <v>1.5</v>
      </c>
      <c r="G16" s="17">
        <v>1.2</v>
      </c>
      <c r="H16" s="69"/>
      <c r="J16" s="69"/>
      <c r="L16" s="123"/>
      <c r="O16" s="43"/>
    </row>
    <row r="17" spans="2:19">
      <c r="E17" s="39"/>
      <c r="F17" s="78" t="s">
        <v>434</v>
      </c>
      <c r="G17" s="49" t="str">
        <f>IF(AND(K27&gt;=100,F2="tubing only",NOT(OR(E18="NO",F18="NO",G18="NO"))),"YES","NO")</f>
        <v>NO</v>
      </c>
      <c r="H17" s="69"/>
      <c r="J17" s="69"/>
      <c r="O17" s="43"/>
    </row>
    <row r="18" spans="2:19" ht="12.75" customHeight="1">
      <c r="B18" s="42" t="s">
        <v>371</v>
      </c>
      <c r="E18" s="117" t="str">
        <f>IF(E14=0,"N/A",IF(AND(E5=$C$5,E15&gt;=25.4,E16&gt;=1.2),"YES","NO"))</f>
        <v>YES</v>
      </c>
      <c r="F18" s="118" t="str">
        <f>IF(F14=0,"N/A",IF(AND(F5=$C$5,F15&gt;=25.4,F16&gt;=1.2),"YES","NO"))</f>
        <v>NO</v>
      </c>
      <c r="G18" s="119" t="str">
        <f>IF(G14=0,"N/A",IF(AND(G5=$C$5,G15&gt;=25.4,G16&gt;=1.2),"YES","NO"))</f>
        <v>N/A</v>
      </c>
      <c r="H18" s="69"/>
      <c r="I18" s="137">
        <f>I19+I20+I21</f>
        <v>0</v>
      </c>
      <c r="J18" s="69"/>
      <c r="O18" s="43"/>
    </row>
    <row r="19" spans="2:19" ht="13.15">
      <c r="B19" s="42" t="s">
        <v>372</v>
      </c>
      <c r="E19" s="836"/>
      <c r="F19" s="837"/>
      <c r="G19" s="838"/>
      <c r="H19" s="69"/>
      <c r="I19" s="38"/>
      <c r="J19" s="69"/>
      <c r="O19" s="43"/>
    </row>
    <row r="20" spans="2:19" ht="13.15">
      <c r="B20" s="42" t="s">
        <v>373</v>
      </c>
      <c r="E20" s="836"/>
      <c r="F20" s="837"/>
      <c r="G20" s="838"/>
      <c r="H20" s="69"/>
      <c r="I20" s="38"/>
      <c r="J20" s="69"/>
      <c r="L20" s="361" t="str">
        <f>IF(I20&lt;0.4*I21,"Asymmetrical lay-up: skin too thin in comparison, see T3.4.4.","")</f>
        <v/>
      </c>
      <c r="O20" s="43"/>
    </row>
    <row r="21" spans="2:19" ht="13.15">
      <c r="B21" s="362" t="s">
        <v>374</v>
      </c>
      <c r="E21" s="836"/>
      <c r="F21" s="837"/>
      <c r="G21" s="838"/>
      <c r="H21" s="69"/>
      <c r="I21" s="38"/>
      <c r="J21" s="69"/>
      <c r="L21" s="361" t="str">
        <f>IF(I21&lt;0.4*I20,"Asymmetrical lay-up: skin too thin in comparison, see T3.4.4.","")</f>
        <v/>
      </c>
      <c r="O21" s="43"/>
    </row>
    <row r="22" spans="2:19" ht="13.15">
      <c r="B22" s="42" t="s">
        <v>375</v>
      </c>
      <c r="E22" s="836"/>
      <c r="F22" s="837"/>
      <c r="G22" s="838"/>
      <c r="H22" s="69"/>
      <c r="I22" s="38"/>
      <c r="J22" s="69"/>
      <c r="K22" s="514"/>
      <c r="O22" s="43"/>
    </row>
    <row r="23" spans="2:19">
      <c r="E23" s="79"/>
      <c r="F23" s="80"/>
      <c r="G23" s="81"/>
      <c r="H23" s="69"/>
      <c r="J23" s="69"/>
      <c r="O23" s="43"/>
    </row>
    <row r="24" spans="2:19">
      <c r="B24" s="42" t="s">
        <v>334</v>
      </c>
      <c r="C24" s="35">
        <f>C15/1000</f>
        <v>2.5399999999999999E-2</v>
      </c>
      <c r="E24" s="35">
        <f>IF($F$2="composite only","No tubes",IF(E14=0,"No tubes",E15/1000))</f>
        <v>2.8000000000000001E-2</v>
      </c>
      <c r="F24" s="35">
        <f>IF($F$2="composite only","No tubes",IF(F14=0,"No tubes",F15/1000))</f>
        <v>2.5000000000000001E-2</v>
      </c>
      <c r="G24" s="35" t="str">
        <f>IF($F$2="composite only","No tubes",IF(G14=0,"No tubes",G15/1000))</f>
        <v>No tubes</v>
      </c>
      <c r="H24" s="69"/>
      <c r="J24" s="69"/>
      <c r="O24" s="43"/>
    </row>
    <row r="25" spans="2:19">
      <c r="B25" s="42" t="s">
        <v>335</v>
      </c>
      <c r="C25" s="35">
        <f>C16/1000</f>
        <v>1.1999999999999999E-3</v>
      </c>
      <c r="E25" s="35">
        <f>IF(E24="no tubes","",IF(E14=0,"",E16/1000))</f>
        <v>1.5E-3</v>
      </c>
      <c r="F25" s="35">
        <f>IF(F24="no tubes","",IF(F14=0,"",F16/1000))</f>
        <v>1.5E-3</v>
      </c>
      <c r="G25" s="35" t="str">
        <f>IF(G24="no tubes","",IF(G14=0,"",G16/1000))</f>
        <v/>
      </c>
      <c r="H25" s="71"/>
      <c r="J25" s="71"/>
      <c r="O25" s="43"/>
      <c r="S25" s="44"/>
    </row>
    <row r="26" spans="2:19">
      <c r="B26" s="42" t="s">
        <v>336</v>
      </c>
      <c r="C26" s="36">
        <f>IF(C6="Round",((C24)^4-((C24-2*C25))^4)*3.142/64,((C24)^4-((C24-2*C25))^4)/12)</f>
        <v>6.6959174567999997E-9</v>
      </c>
      <c r="E26" s="36">
        <f>IF(E24="no tubes","",IF(E14=0,"",IF(E6="Round",(((E24)^4-((E24-2*E25))^4)*3.142/64),IF(E6="Square",(((E24)^4-((E24-2*E25))^4)/12),""))))</f>
        <v>1.0998521906249999E-8</v>
      </c>
      <c r="F26" s="36">
        <f>IF(F24="no tubes","",IF(F14=0,"",IF(F6="Round",(((F24)^4-((F24-2*F25))^4)*3.142/64),IF(F6="Square",(((F24)^4-((F24-2*F25))^4)/12),""))))</f>
        <v>7.6767405937500035E-9</v>
      </c>
      <c r="G26" s="36" t="str">
        <f>IF(G24="no tubes","",IF(G14=0,"",IF(G6="Round",(((G24)^4-((G24-2*G25))^4)*3.142/64),IF(G6="Square",(((G24)^4-((G24-2*G25))^4)/12),""))))</f>
        <v/>
      </c>
      <c r="H26" s="36">
        <f>IF(SUM(E26:G26)&gt;0,SUM(E26:G26),"")</f>
        <v>1.8675262500000003E-8</v>
      </c>
      <c r="I26" s="73" t="str">
        <f>IF($F$2="Tubing only","Tubing Only",O12)</f>
        <v>Tubing Only</v>
      </c>
      <c r="J26" s="36">
        <f t="shared" ref="J26:J35" si="0">IF($F$2="Tubing only",H26,IF($F$2="Composite only",I26,IF($F$2="Tubes + Composite",H26+I26,"No Type Selected")))</f>
        <v>1.8675262500000003E-8</v>
      </c>
      <c r="O26" s="43"/>
      <c r="R26" s="43"/>
      <c r="S26" s="44"/>
    </row>
    <row r="27" spans="2:19">
      <c r="B27" s="42" t="s">
        <v>337</v>
      </c>
      <c r="C27" s="36">
        <f>C8*C26*C14</f>
        <v>4017.5504740799997</v>
      </c>
      <c r="D27" s="43"/>
      <c r="E27" s="36">
        <f>IF(E24="no tubes","",IF(E14=0,"",E8*E26*E14))</f>
        <v>2199.7043812499996</v>
      </c>
      <c r="F27" s="36">
        <f>IF(F24="no tubes","",IF(F14=0,"",F8*F26*F14))</f>
        <v>3070.6962375000012</v>
      </c>
      <c r="G27" s="36" t="str">
        <f>IF(G24="no tubes","",IF(G14=0,"",G8*G26*G14))</f>
        <v/>
      </c>
      <c r="H27" s="36">
        <f t="shared" ref="H27:H35" si="1">IF(SUM(E27:G27)&gt;0,SUM(E27:G27),"")</f>
        <v>5270.4006187500008</v>
      </c>
      <c r="I27" s="73" t="str">
        <f>IF(I26="Tubing Only","",I26*I8)</f>
        <v/>
      </c>
      <c r="J27" s="36">
        <f t="shared" si="0"/>
        <v>5270.4006187500008</v>
      </c>
      <c r="K27" s="40">
        <f>IF(AND(NOT($F$2="tubes + composite"),OR(AND($G$14&gt;0,G27&lt;(C27/3)),AND($F$14&gt;0,F27&lt;(C27/3)),AND($E$14&gt;0,E27&lt;(C27/3)))),0,100*J27/C27)</f>
        <v>131.18442824186045</v>
      </c>
      <c r="L27" t="str">
        <f>IF((99.9&gt;K27)*AND(K27&gt;33.3),"For Composites Only, Additional Proof Required","")</f>
        <v/>
      </c>
    </row>
    <row r="28" spans="2:19">
      <c r="B28" s="42" t="s">
        <v>338</v>
      </c>
      <c r="C28" s="37">
        <f>IF(C24="no tubes","",IF(C14=0,"",IF(C6="Round",C14*((C15^2-(C15-2*C16)^2)*PI()/4),IF(C6="Square",C14*(C15^2-(C15-2*C16)^2),""))))</f>
        <v>273.69555198074272</v>
      </c>
      <c r="D28" s="82"/>
      <c r="E28" s="37">
        <f>IF(E24="no tubes","",IF(E14=0,"",IF(E6="Round",E14*((E15^2-(E15-2*E16)^2)*PI()/4),IF(E6="Square",E14*(E15^2-(E15-2*E16)^2),""))))</f>
        <v>124.87830798019428</v>
      </c>
      <c r="F28" s="37">
        <f>IF(F24="no tubes","",IF(F14=0,"",IF(F6="Round",F14*((F15^2-(F15-2*F16)^2)*PI()/4),IF(F6="Square",F14*(F15^2-(F15-2*F16)^2),""))))</f>
        <v>221.4822820780804</v>
      </c>
      <c r="G28" s="37" t="str">
        <f>IF(G24="no tubes","",IF(G14=0,"",IF(G6="Round",G14*((G15^2-(G15-2*G16)^2)*PI()/4),IF(G6="Square",G14*(G15^2-(G15-2*G16)^2),""))))</f>
        <v/>
      </c>
      <c r="H28" s="37">
        <f t="shared" si="1"/>
        <v>346.36059005827468</v>
      </c>
      <c r="I28" s="37" t="str">
        <f>IF(I26="Tubing Only","",(I18-I19)*I22)</f>
        <v/>
      </c>
      <c r="J28" s="37">
        <f t="shared" si="0"/>
        <v>346.36059005827468</v>
      </c>
      <c r="K28" s="40">
        <f>IF(AND($F$2="tubing only",AND(E5="steel",F5="steel",G5="steel")),100*J28/C28,"NA")</f>
        <v>126.54958677685953</v>
      </c>
      <c r="L28" t="str">
        <f>IF(AND(95&lt;K28,K28&lt;100),"For tubes only, provided your actual tube measures &gt;= your nominal OD and wall this is OK","")</f>
        <v/>
      </c>
      <c r="R28" s="43"/>
    </row>
    <row r="29" spans="2:19">
      <c r="B29" s="42" t="s">
        <v>339</v>
      </c>
      <c r="C29" s="36">
        <f>C$28*C9/1000000</f>
        <v>83477.143354126529</v>
      </c>
      <c r="D29" s="43"/>
      <c r="E29" s="36">
        <f>IF(E24="no tubes","",IF(E14=0,"",E$28*E9/1000000))</f>
        <v>38087.883933959252</v>
      </c>
      <c r="F29" s="36">
        <f>IF(F24="no tubes","",IF(F14=0,"",F$28*F9/1000000))</f>
        <v>67552.096033814523</v>
      </c>
      <c r="G29" s="36" t="str">
        <f>IF(G24="no tubes","",IF(G14=0,"",G$28*G9/1000000))</f>
        <v/>
      </c>
      <c r="H29" s="36">
        <f t="shared" si="1"/>
        <v>105639.97996777378</v>
      </c>
      <c r="I29" s="36" t="str">
        <f>IF(I26="Tubing Only","",I28*I9/1000000)</f>
        <v/>
      </c>
      <c r="J29" s="36">
        <f t="shared" si="0"/>
        <v>105639.97996777378</v>
      </c>
      <c r="K29" s="40">
        <f>IF(AND($F$2="tubing only",OR($E$29&lt;(E14/$C$14)*$C$29,$F$29&lt;(F14/$C$14)*$C$29,$G$29&lt;(G14/$C$14)*$C$29)),0,100*J29/C29)</f>
        <v>126.54958677685953</v>
      </c>
      <c r="L29" t="str">
        <f>IF(AND(95&lt;K29,K29&lt;100),"For tubes only, provided your actual tube measures &gt;= your nominal OD and wall this is OK","")</f>
        <v/>
      </c>
    </row>
    <row r="30" spans="2:19">
      <c r="B30" s="42" t="s">
        <v>340</v>
      </c>
      <c r="C30" s="36">
        <f>C$28*C10/1000000</f>
        <v>99898.876472971097</v>
      </c>
      <c r="D30" s="43"/>
      <c r="E30" s="36">
        <f>IF(E24="no tubes","",IF(E14=0,"",E$28*E10/1000000))</f>
        <v>45580.582412770913</v>
      </c>
      <c r="F30" s="36">
        <f>IF(F24="no tubes","",IF(F14=0,"",F$28*F10/1000000))</f>
        <v>80841.032958499345</v>
      </c>
      <c r="G30" s="36" t="str">
        <f>IF(G24="no tubes","",IF(G14=0,"",G$28*G10/1000000))</f>
        <v/>
      </c>
      <c r="H30" s="36">
        <f t="shared" si="1"/>
        <v>126421.61537127025</v>
      </c>
      <c r="I30" s="36" t="str">
        <f>IF(I26="Tubing Only","",I28*I10/1000000)</f>
        <v/>
      </c>
      <c r="J30" s="36">
        <f t="shared" si="0"/>
        <v>126421.61537127025</v>
      </c>
      <c r="K30" s="40">
        <f>IF(AND($F$2="tubing only",OR($E$30&lt;(E14/$C$14)*$C$30,$F$30&lt;(F14/$C$14)*$C$30,$G$30&lt;(G14/$C$14)*$C$30)),0,100*J30/C30)</f>
        <v>126.54958677685951</v>
      </c>
      <c r="L30" t="str">
        <f>IF(AND(95&lt;K30,K30&lt;100),"For tubes only, provided your actual tube measures &gt;= your nominal OD and wall this is OK","")</f>
        <v/>
      </c>
      <c r="R30" s="43"/>
    </row>
    <row r="31" spans="2:19">
      <c r="B31" s="42" t="s">
        <v>341</v>
      </c>
      <c r="C31" s="36">
        <f>C$28*C11/1000000</f>
        <v>49265.199356533689</v>
      </c>
      <c r="D31" s="43"/>
      <c r="E31" s="36">
        <f>IF(E24="no tubes","",IF(E14=0,"",E$28*E11/1000000))</f>
        <v>22478.095436434971</v>
      </c>
      <c r="F31" s="36">
        <f>IF(F24="no tubes","",IF(F14=0,"",F$28*F11/1000000))</f>
        <v>39866.810774054473</v>
      </c>
      <c r="G31" s="36" t="str">
        <f>IF(G24="no tubes","",IF(G14=0,"",G$28*G11/1000000))</f>
        <v/>
      </c>
      <c r="H31" s="36">
        <f t="shared" si="1"/>
        <v>62344.90621048944</v>
      </c>
      <c r="I31" s="36" t="str">
        <f>IF(I26="Tubing Only","",I28*I9/1000000)</f>
        <v/>
      </c>
      <c r="J31" s="36">
        <f t="shared" si="0"/>
        <v>62344.90621048944</v>
      </c>
      <c r="K31" s="40">
        <f>IF(AND($F$2="tubing only",OR($E$31&lt;(E14/$C$14)*$C$31,$F$31&lt;(F14/$C$14)*$C$31,$G$31&lt;(G14/$C$14)*$C$31)),0,100*J31/C31)</f>
        <v>126.54958677685953</v>
      </c>
      <c r="L31" t="str">
        <f>IF(AND(95&lt;K31,K31&lt;100),"For tubes only, provided your actual tube measures &gt;= your nominal OD and wall this is OK","")</f>
        <v/>
      </c>
      <c r="R31" s="43"/>
    </row>
    <row r="32" spans="2:19">
      <c r="B32" s="42" t="s">
        <v>342</v>
      </c>
      <c r="C32" s="36">
        <f>IF(C14=0,"",C$28*C12/1000000)</f>
        <v>82108.66559422281</v>
      </c>
      <c r="D32" s="43"/>
      <c r="E32" s="36">
        <f>IF(E24="no tubes","",IF(E14=0,"",E$28*E12/1000000))</f>
        <v>37463.492394058281</v>
      </c>
      <c r="F32" s="36">
        <f>IF(F24="no tubes","",IF(F14=0,"",F$28*F12/1000000))</f>
        <v>66444.684623424124</v>
      </c>
      <c r="G32" s="36" t="str">
        <f>IF(G24="no tubes","",IF(G14=0,"",G$28*G12/1000000))</f>
        <v/>
      </c>
      <c r="H32" s="36">
        <f t="shared" si="1"/>
        <v>103908.17701748241</v>
      </c>
      <c r="I32" s="36" t="str">
        <f>IF(I26="tubing only","",I28*I10/1000000)</f>
        <v/>
      </c>
      <c r="J32" s="36">
        <f t="shared" si="0"/>
        <v>103908.17701748241</v>
      </c>
      <c r="K32" s="40">
        <f>IF(AND($F$2="tubing only",OR($E$32&lt;(E14/$C$14)*$C$32,$F$32&lt;(F14/$C$14)*$C$32,$G$32&lt;(G14/$C$14)*$C$32)),0,100*J32/C32)</f>
        <v>126.54958677685954</v>
      </c>
      <c r="L32" t="str">
        <f>IF(AND(95&lt;K32,K32&lt;100),"For tubes only, provided your actual tube measures &gt;= your nominal OD and wall this is OK","")</f>
        <v/>
      </c>
      <c r="R32" s="43"/>
    </row>
    <row r="33" spans="2:15">
      <c r="B33" s="42" t="s">
        <v>343</v>
      </c>
      <c r="C33" s="36">
        <f>C14*4*C10*C26/(0.5*C24*1)</f>
        <v>2309.3006662034645</v>
      </c>
      <c r="E33" s="36">
        <f>IF(E24="no tubes","",IF(E14=0,"",E14*4*E10*E26/(0.5*E24*1)))</f>
        <v>1146.988713080357</v>
      </c>
      <c r="F33" s="36">
        <f>IF(F24="no tubes","",IF(F14=0,"",F14*4*F10*F26/(0.5*F24*1)))</f>
        <v>1793.2866027000007</v>
      </c>
      <c r="G33" s="36" t="str">
        <f>IF(G24="no tubes","",IF(G14=0,"",G14*4*G10*G26/(0.5*G24*1)))</f>
        <v/>
      </c>
      <c r="H33" s="36">
        <f t="shared" si="1"/>
        <v>2940.2753157803577</v>
      </c>
      <c r="I33" s="36" t="str">
        <f>IF(I26="tubing only","",4*I10*(I26*2/(I18/1000))/1)</f>
        <v/>
      </c>
      <c r="J33" s="36">
        <f t="shared" si="0"/>
        <v>2940.2753157803577</v>
      </c>
      <c r="K33" s="40">
        <f>IF(AND($F$2="tubing only",OR($E$33&lt;(E14/$C$14)*$C$33,$F$33&lt;(F14/$C$14)*$C$33,$G$33&lt;(G14/$C$14)*$C$33)),0,100*J33/C33)</f>
        <v>127.32319177018331</v>
      </c>
      <c r="L33" t="str">
        <f>IF((99.9&gt;K33)*AND(K33&gt;33.3),"For Composites Only, Additional Proof Required","")</f>
        <v/>
      </c>
    </row>
    <row r="34" spans="2:15">
      <c r="B34" s="42" t="s">
        <v>344</v>
      </c>
      <c r="C34" s="36">
        <f>IF(C14=0,"",C33*1^3/(48*C27))</f>
        <v>1.1975065616797899E-2</v>
      </c>
      <c r="E34" s="36">
        <f>IF(E24="no tubes","",IF(E14=0,"",($C$33*1^3/(48*E27))))</f>
        <v>2.1871316416875241E-2</v>
      </c>
      <c r="F34" s="36">
        <f>IF(F24="no tubes","",IF(F14=0,"",($C$33*1^3/(48*F27))))</f>
        <v>1.5667596800481468E-2</v>
      </c>
      <c r="G34" s="36" t="str">
        <f>IF(G24="no tubes","",IF(G14=0,"",($C$33*1^3/(48*G27))))</f>
        <v/>
      </c>
      <c r="H34" s="36">
        <f>IF(F2="composite only","",$C$33*1^3/(48*H27))</f>
        <v>9.1284200246083066E-3</v>
      </c>
      <c r="I34" s="36" t="str">
        <f>IF(NOT($F$2="tubing only"),$C$33*1^3/(48*I27),"")</f>
        <v/>
      </c>
      <c r="J34" s="36">
        <f>IF($F$2="Tubing only",H34,IF($F$2="Composite only",I34,IF($F$2="Tubes + Composite",$C$33*1^3/(48*J27),"No Type Selected")))</f>
        <v>9.1284200246083066E-3</v>
      </c>
      <c r="K34" s="40">
        <f>IF(AND($F$2="tubing only",J34&gt;1.05*C34),101,100*J34/C34)</f>
        <v>76.228559547961979</v>
      </c>
      <c r="L34" t="str">
        <f>IF((100.1&lt;K34)*AND(K34&lt;300.1),"For Composites Only, Additional Proof Required","")</f>
        <v/>
      </c>
    </row>
    <row r="35" spans="2:15">
      <c r="B35" s="42" t="s">
        <v>345</v>
      </c>
      <c r="C35" s="36">
        <f>0.5*C33*(C33*1^3/(48*C27))</f>
        <v>13.827013503350795</v>
      </c>
      <c r="E35" s="36">
        <f>IF(E24="no tubes","",0.5*E33*(E33*1^3/(48*E27)))</f>
        <v>6.2299238136061055</v>
      </c>
      <c r="F35" s="36">
        <f>IF(F24="no tubes","",0.5*F33*(F33*1^3/(48*F27)))</f>
        <v>10.909160166425004</v>
      </c>
      <c r="G35" s="36" t="str">
        <f>IF(G24="no tubes","",0.5*G33*(G33*1^3/(48*G27)))</f>
        <v/>
      </c>
      <c r="H35" s="36">
        <f t="shared" si="1"/>
        <v>17.13908398003111</v>
      </c>
      <c r="I35" s="36" t="str">
        <f>IF(I26="tubing only","",0.5*I33*(I33*1^3/(48*I27)))</f>
        <v/>
      </c>
      <c r="J35" s="36">
        <f t="shared" si="0"/>
        <v>17.13908398003111</v>
      </c>
      <c r="K35" s="40">
        <f>IF(AND($F$2="tubing only",OR($E$36&lt;$C$36,$F$36&lt;$C$36,$G$36&lt;$C$36)),0,100*J35/C35)</f>
        <v>123.95362148071727</v>
      </c>
      <c r="L35" t="str">
        <f>IF((99.9&gt;K35)*AND(K35&gt;33.3),"For Composites Only, Additional Proof Required","")</f>
        <v/>
      </c>
      <c r="M35" s="162" t="s">
        <v>219</v>
      </c>
      <c r="N35" s="162"/>
    </row>
    <row r="36" spans="2:15">
      <c r="C36" s="319">
        <f>0.99*C27/C14</f>
        <v>1325.7916564463999</v>
      </c>
      <c r="D36" s="50"/>
      <c r="E36" s="319">
        <f>IF(AND($F$2="tubing only",E14&gt;0),E27/E14,9E+99)</f>
        <v>2199.7043812499996</v>
      </c>
      <c r="F36" s="319">
        <f>IF(AND($F$2="tubing only",F14&gt;0),F27/F14,9E+99)</f>
        <v>1535.3481187500006</v>
      </c>
      <c r="G36" s="319">
        <f>IF(AND($F$2="tubing only",G14&gt;0),G27/G14,9E+99)</f>
        <v>8.9999999999999999E+99</v>
      </c>
      <c r="H36" s="514"/>
      <c r="O36" s="162"/>
    </row>
    <row r="37" spans="2:15" ht="13.15">
      <c r="B37" s="3" t="s">
        <v>376</v>
      </c>
      <c r="E37" s="43"/>
    </row>
    <row r="38" spans="2:15">
      <c r="B38" s="984" t="s">
        <v>377</v>
      </c>
      <c r="C38" s="986" t="s">
        <v>435</v>
      </c>
      <c r="D38" s="246"/>
      <c r="E38" s="246"/>
      <c r="F38" s="246"/>
      <c r="G38" s="246"/>
      <c r="H38" s="246"/>
      <c r="I38" s="246"/>
      <c r="J38" s="246"/>
      <c r="K38" s="246"/>
      <c r="L38" s="246"/>
      <c r="M38" s="246"/>
      <c r="N38" s="246"/>
      <c r="O38" s="247"/>
    </row>
    <row r="39" spans="2:15">
      <c r="B39" s="985" t="s">
        <v>378</v>
      </c>
      <c r="C39" s="360" t="s">
        <v>436</v>
      </c>
      <c r="D39" s="249"/>
      <c r="E39" s="249"/>
      <c r="F39" s="249"/>
      <c r="G39" s="249"/>
      <c r="H39" s="249"/>
      <c r="I39" s="249"/>
      <c r="J39" s="249"/>
      <c r="K39" s="249"/>
      <c r="L39" s="249"/>
      <c r="M39" s="249"/>
      <c r="N39" s="249"/>
      <c r="O39" s="250"/>
    </row>
    <row r="40" spans="2:15">
      <c r="B40" s="25"/>
      <c r="C40" s="360"/>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EW3DnaB6FYeqKtZEYi1Kn5r8BAv4kPKXaTUR/cSETL5BksD01QyCPoLnYpgV4+zhIx+BmooXtvaWHCYf9JCmwg==" saltValue="GxfqUDcGvyYQt3pAZ2EfIA==" spinCount="100000" sheet="1" scenarios="1" insertHyperlinks="0"/>
  <protectedRanges>
    <protectedRange sqref="F2:G2 E5:G6 I5 E14:G16 I19:I22 B38 B40:O190 C38:O39" name="Bereich1"/>
    <protectedRange sqref="B39" name="Bereich1_1"/>
  </protectedRanges>
  <mergeCells count="2">
    <mergeCell ref="C2:E2"/>
    <mergeCell ref="F2:G2"/>
  </mergeCells>
  <phoneticPr fontId="2" type="noConversion"/>
  <conditionalFormatting sqref="E27:G33">
    <cfRule type="cellIs" dxfId="375" priority="11" stopIfTrue="1" operator="lessThan">
      <formula>0.95*$C27*(E$14/$C$14)</formula>
    </cfRule>
  </conditionalFormatting>
  <conditionalFormatting sqref="E35:G35">
    <cfRule type="cellIs" dxfId="374" priority="9" stopIfTrue="1" operator="lessThan">
      <formula>0.95*$C35*(E$14/$C$14)</formula>
    </cfRule>
  </conditionalFormatting>
  <conditionalFormatting sqref="I20">
    <cfRule type="expression" dxfId="373" priority="3">
      <formula>I20&lt;0.4*I21</formula>
    </cfRule>
  </conditionalFormatting>
  <conditionalFormatting sqref="I21">
    <cfRule type="expression" dxfId="372" priority="1">
      <formula>I21&lt;0.4*I20</formula>
    </cfRule>
  </conditionalFormatting>
  <conditionalFormatting sqref="K27">
    <cfRule type="cellIs" dxfId="371" priority="55" stopIfTrue="1" operator="lessThan">
      <formula>33.3</formula>
    </cfRule>
    <cfRule type="cellIs" dxfId="370" priority="56" stopIfTrue="1" operator="between">
      <formula>33.3</formula>
      <formula>100</formula>
    </cfRule>
  </conditionalFormatting>
  <conditionalFormatting sqref="K27:K33">
    <cfRule type="cellIs" dxfId="369" priority="21" stopIfTrue="1" operator="greaterThanOrEqual">
      <formula>100</formula>
    </cfRule>
  </conditionalFormatting>
  <conditionalFormatting sqref="K28:K32">
    <cfRule type="cellIs" dxfId="368" priority="51" stopIfTrue="1" operator="lessThan">
      <formula>100</formula>
    </cfRule>
  </conditionalFormatting>
  <conditionalFormatting sqref="K33">
    <cfRule type="cellIs" dxfId="367" priority="22" stopIfTrue="1" operator="lessThan">
      <formula>33.3</formula>
    </cfRule>
    <cfRule type="cellIs" dxfId="366" priority="23" stopIfTrue="1" operator="between">
      <formula>33.3</formula>
      <formula>100</formula>
    </cfRule>
  </conditionalFormatting>
  <conditionalFormatting sqref="K34">
    <cfRule type="cellIs" dxfId="365" priority="14" stopIfTrue="1" operator="between">
      <formula>100.1</formula>
      <formula>300</formula>
    </cfRule>
    <cfRule type="cellIs" dxfId="364" priority="52" stopIfTrue="1" operator="greaterThan">
      <formula>300</formula>
    </cfRule>
    <cfRule type="cellIs" dxfId="363" priority="53" stopIfTrue="1" operator="lessThanOrEqual">
      <formula>100</formula>
    </cfRule>
  </conditionalFormatting>
  <conditionalFormatting sqref="K35">
    <cfRule type="cellIs" dxfId="362" priority="15" stopIfTrue="1" operator="greaterThanOrEqual">
      <formula>100</formula>
    </cfRule>
    <cfRule type="cellIs" dxfId="361" priority="16" stopIfTrue="1" operator="lessThan">
      <formula>33.3</formula>
    </cfRule>
    <cfRule type="cellIs" dxfId="360" priority="17" stopIfTrue="1" operator="between">
      <formula>33.3</formula>
      <formula>100</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M35" location="'Cover Sheet'!A1" display="BACK to COVER SHEET" xr:uid="{00000000-0004-0000-0D00-000001000000}"/>
    <hyperlink ref="M36:O36" location="'Cover Sheet'!A1" display="BACK to COVER SHEET" xr:uid="{00000000-0004-0000-0D00-000002000000}"/>
    <hyperlink ref="B38" location="'T3.14 T3.5 Guidance Notes'!A1" display="Link to guidance notes for laminated structures" xr:uid="{BBD36AC2-4EA7-4FFE-8520-D630C19A6F84}"/>
    <hyperlink ref="B39" location="'T3.5 Guidance Notes'!A1" display="Link to GUIDANCE NOTES for anisotropic laminates" xr:uid="{496F4969-43D8-4A6B-897C-D9E8627FD013}"/>
    <hyperlink ref="B14" location="'T1.1 Guidance Notes'!A1" display="Number of tubes" xr:uid="{583F076D-D059-4E82-B772-18A3A023C89C}"/>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topLeftCell="A18" zoomScaleNormal="100" zoomScaleSheetLayoutView="100" workbookViewId="0"/>
  </sheetViews>
  <sheetFormatPr baseColWidth="10" defaultColWidth="11.46484375" defaultRowHeight="12.75"/>
  <cols>
    <col min="1" max="1" width="3.46484375" customWidth="1"/>
    <col min="2" max="2" width="45.6640625" customWidth="1"/>
    <col min="3" max="3" width="11.46484375" customWidth="1"/>
    <col min="4" max="4" width="15.46484375" bestFit="1" customWidth="1"/>
    <col min="5" max="5" width="6.1328125" customWidth="1"/>
    <col min="6" max="6" width="8.6640625" customWidth="1"/>
    <col min="7" max="7" width="10" bestFit="1" customWidth="1"/>
    <col min="8" max="15" width="11.46484375" customWidth="1"/>
    <col min="16" max="16" width="3.46484375" customWidth="1"/>
  </cols>
  <sheetData>
    <row r="1" spans="2:9" ht="15">
      <c r="B1" s="1" t="s">
        <v>416</v>
      </c>
    </row>
    <row r="3" spans="2:9" ht="13.15">
      <c r="B3" s="3" t="s">
        <v>417</v>
      </c>
    </row>
    <row r="4" spans="2:9" ht="12.75" customHeight="1">
      <c r="B4" s="1264" t="s">
        <v>418</v>
      </c>
      <c r="C4" s="1264"/>
      <c r="D4" s="991"/>
      <c r="F4" s="361"/>
    </row>
    <row r="5" spans="2:9" ht="12.75" customHeight="1">
      <c r="B5" s="1265" t="s">
        <v>419</v>
      </c>
      <c r="C5" s="1265"/>
      <c r="D5" s="736" t="s">
        <v>122</v>
      </c>
    </row>
    <row r="7" spans="2:9" ht="13.15">
      <c r="B7" s="41" t="s">
        <v>326</v>
      </c>
      <c r="C7" s="41" t="s">
        <v>327</v>
      </c>
      <c r="D7" s="41" t="s">
        <v>420</v>
      </c>
      <c r="F7" s="361"/>
      <c r="G7" s="308"/>
      <c r="H7" s="308"/>
      <c r="I7" s="309"/>
    </row>
    <row r="8" spans="2:9">
      <c r="B8" s="362" t="s">
        <v>329</v>
      </c>
      <c r="C8" s="35" t="s">
        <v>175</v>
      </c>
      <c r="D8" s="605" t="s">
        <v>175</v>
      </c>
      <c r="F8" s="608"/>
      <c r="G8" s="309"/>
      <c r="H8" s="310"/>
      <c r="I8" s="309"/>
    </row>
    <row r="9" spans="2:9">
      <c r="B9" s="42" t="s">
        <v>331</v>
      </c>
      <c r="C9" s="36" t="str">
        <f>HLOOKUP(C8,MaterialData!$C$3:$O$4,2,FALSE)</f>
        <v>Steel</v>
      </c>
      <c r="D9" s="36" t="str">
        <f>IF(D8="Alternative AIP","N/A",HLOOKUP(D8,MaterialData!$C$3:$O$4,2,FALSE))</f>
        <v>Steel</v>
      </c>
      <c r="F9" s="608"/>
      <c r="G9" s="309"/>
      <c r="H9" s="310"/>
      <c r="I9" s="309"/>
    </row>
    <row r="10" spans="2:9">
      <c r="B10" s="362" t="s">
        <v>194</v>
      </c>
      <c r="C10" s="36">
        <f>INDEX(Innertable,MATCH($B10,MaterialData!$B$6:$B$11,0),MATCH(C$9,MaterialData!$C$4:$O$4,0))</f>
        <v>200000000000</v>
      </c>
      <c r="D10" s="73">
        <f>IF(D8="Alternative AIP","N/A",INDEX(Innertable,MATCH($B10,MaterialData!$B$6:$B$11,0),MATCH(D$9,MaterialData!$C$4:$O$4,0)))</f>
        <v>200000000000</v>
      </c>
      <c r="F10" s="309"/>
      <c r="G10" s="309"/>
      <c r="H10" s="309"/>
    </row>
    <row r="11" spans="2:9">
      <c r="B11" s="42" t="s">
        <v>195</v>
      </c>
      <c r="C11" s="36">
        <f>INDEX(Innertable,MATCH($B11,MaterialData!$B$6:$B$11,0),MATCH(C$9,MaterialData!$C$4:$O$4,0))</f>
        <v>305000000</v>
      </c>
      <c r="D11" s="73">
        <f>IF(D8="Alternative AIP","N/A",INDEX(Innertable,MATCH($B11,MaterialData!$B$6:$B$11,0),MATCH(D$9,MaterialData!$C$4:$O$4,0)))</f>
        <v>305000000</v>
      </c>
      <c r="F11" s="608"/>
      <c r="G11" s="311"/>
      <c r="H11" s="608"/>
    </row>
    <row r="12" spans="2:9">
      <c r="B12" s="42" t="s">
        <v>196</v>
      </c>
      <c r="C12" s="36">
        <f>INDEX(Innertable,MATCH($B12,MaterialData!$B$6:$B$11,0),MATCH(C$9,MaterialData!$C$4:$O$4,0))</f>
        <v>365000000</v>
      </c>
      <c r="D12" s="73">
        <f>IF(D8="Alternative AIP","N/A",INDEX(Innertable,MATCH($B12,MaterialData!$B$6:$B$11,0),MATCH(D$9,MaterialData!$C$4:$O$4,0)))</f>
        <v>365000000</v>
      </c>
      <c r="F12" s="608"/>
      <c r="G12" s="311"/>
      <c r="H12" s="608"/>
    </row>
    <row r="13" spans="2:9">
      <c r="B13" s="42" t="s">
        <v>197</v>
      </c>
      <c r="C13" s="36">
        <f>INDEX(Innertable,MATCH($B13,MaterialData!$B$6:$B$11,0),MATCH(C$9,MaterialData!$C$4:$O$4,0))</f>
        <v>180000000</v>
      </c>
      <c r="D13" s="73">
        <f>IF(D8="Alternative AIP","N/A",INDEX(Innertable,MATCH($B13,MaterialData!$B$6:$B$11,0),MATCH(D$9,MaterialData!$C$4:$O$4,0)))</f>
        <v>180000000</v>
      </c>
      <c r="F13" s="608"/>
      <c r="G13" s="309"/>
      <c r="H13" s="608"/>
      <c r="I13" s="311"/>
    </row>
    <row r="14" spans="2:9">
      <c r="B14" s="42" t="s">
        <v>198</v>
      </c>
      <c r="C14" s="36">
        <f>INDEX(Innertable,MATCH($B14,MaterialData!$B$6:$B$11,0),MATCH(C$9,MaterialData!$C$4:$O$4,0))</f>
        <v>300000000</v>
      </c>
      <c r="D14" s="73">
        <f>IF(D8="Alternative AIP","N/A",INDEX(Innertable,MATCH($B14,MaterialData!$B$6:$B$11,0),MATCH(D$9,MaterialData!$C$4:$O$4,0)))</f>
        <v>300000000</v>
      </c>
      <c r="F14" s="608"/>
      <c r="G14" s="309"/>
      <c r="H14" s="608"/>
      <c r="I14" s="311"/>
    </row>
    <row r="15" spans="2:9">
      <c r="B15" s="42" t="s">
        <v>199</v>
      </c>
      <c r="C15" s="36">
        <f>INDEX(Innertable,MATCH($B15,MaterialData!$B$6:$B$11,0),MATCH(C$9,MaterialData!$C$4:$O$4,0))</f>
        <v>219000000</v>
      </c>
      <c r="D15" s="73">
        <f>IF(D8="Alternative AIP","N/A",INDEX(Innertable,MATCH($B15,MaterialData!$B$6:$B$11,0),MATCH(D$9,MaterialData!$C$4:$O$4,0)))</f>
        <v>219000000</v>
      </c>
      <c r="F15" s="608"/>
      <c r="G15" s="312"/>
      <c r="H15" s="608"/>
      <c r="I15" s="311"/>
    </row>
    <row r="16" spans="2:9">
      <c r="F16" s="309"/>
      <c r="G16" s="309"/>
      <c r="H16" s="309"/>
      <c r="I16" s="309"/>
    </row>
    <row r="17" spans="2:15" ht="13.15">
      <c r="B17" s="350"/>
      <c r="C17" s="351" t="s">
        <v>421</v>
      </c>
      <c r="D17" s="609" t="s">
        <v>422</v>
      </c>
      <c r="F17" s="538" t="str">
        <f>IF(OR($D$17="NO",$D$8="Alternative AIP"),"Test per T3.19 required","Per T3.17.8 possibilty to avoid testing (T3.19), pending bulkhead measurements")</f>
        <v>Per T3.17.8 possibilty to avoid testing (T3.19), pending bulkhead measurements</v>
      </c>
      <c r="G17" s="373"/>
      <c r="H17" s="373"/>
      <c r="I17" s="373"/>
    </row>
    <row r="18" spans="2:15">
      <c r="F18" s="309"/>
      <c r="G18" s="309"/>
      <c r="H18" s="309"/>
      <c r="I18" s="309"/>
    </row>
    <row r="19" spans="2:15" ht="13.15">
      <c r="B19" s="42" t="s">
        <v>371</v>
      </c>
      <c r="C19" s="72">
        <v>1.5</v>
      </c>
      <c r="D19" s="158">
        <f>IF(D8="steel",1.5,IF(D8="aluminium 1",4,IF(D8="Alternative AIP","N/A")))</f>
        <v>1.5</v>
      </c>
      <c r="F19" s="313"/>
      <c r="H19" s="308"/>
      <c r="I19" s="309"/>
    </row>
    <row r="20" spans="2:15" ht="12.75" customHeight="1">
      <c r="B20" s="362" t="s">
        <v>423</v>
      </c>
      <c r="C20" s="35">
        <v>350</v>
      </c>
      <c r="D20" s="35">
        <f>IF('T3.13 T3.5 Ft Bulkhead'!$F$2="Tubing only",'T3.13 T3.5 Ft Bulkhead'!E16,IF('T3.13 T3.5 Ft Bulkhead'!$F$2="Composite only",'T3.13 T3.5 Ft Bulkhead'!L16,'T3.13 T3.5 Ft Bulkhead'!L16))</f>
        <v>388</v>
      </c>
      <c r="F20" s="1263"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263"/>
      <c r="H20" s="1263"/>
      <c r="I20" s="1263"/>
      <c r="J20" s="1263"/>
      <c r="K20" s="1263"/>
    </row>
    <row r="21" spans="2:15">
      <c r="B21" s="362" t="s">
        <v>424</v>
      </c>
      <c r="C21" s="35">
        <v>400</v>
      </c>
      <c r="D21" s="35">
        <f>IF('T3.13 T3.5 Ft Bulkhead'!$F$2="Tubing only",'T3.13 T3.5 Ft Bulkhead'!E15,IF('T3.13 T3.5 Ft Bulkhead'!$F$2="Composite only",'T3.13 T3.5 Ft Bulkhead'!L15,'T3.13 T3.5 Ft Bulkhead'!L15))</f>
        <v>388</v>
      </c>
      <c r="F21" s="1263"/>
      <c r="G21" s="1263"/>
      <c r="H21" s="1263"/>
      <c r="I21" s="1263"/>
      <c r="J21" s="1263"/>
      <c r="K21" s="1263"/>
    </row>
    <row r="22" spans="2:15">
      <c r="B22" s="350"/>
      <c r="C22" s="372"/>
      <c r="D22" s="307"/>
      <c r="H22" s="309"/>
    </row>
    <row r="23" spans="2:15">
      <c r="C23" s="351" t="s">
        <v>425</v>
      </c>
      <c r="D23" s="157" t="str">
        <f>IF(OR(AND($D$8="steel",$D$19&gt;=1.5,$D$17="YES"),AND($D$8="aluminium 1",$D$19&gt;=4,$D$17="YES")),"YES","NO")</f>
        <v>YES</v>
      </c>
      <c r="F23" s="608"/>
      <c r="G23" s="311"/>
      <c r="H23" s="608"/>
      <c r="I23" s="311"/>
    </row>
    <row r="24" spans="2:15">
      <c r="F24" s="608"/>
      <c r="G24" s="309"/>
      <c r="H24" s="608"/>
      <c r="I24" s="311"/>
    </row>
    <row r="25" spans="2:15" ht="13.15">
      <c r="B25" s="3" t="s">
        <v>426</v>
      </c>
      <c r="F25" s="608"/>
      <c r="G25" s="312"/>
      <c r="H25" s="608"/>
      <c r="I25" s="311"/>
    </row>
    <row r="26" spans="2:15">
      <c r="B26" s="42" t="s">
        <v>427</v>
      </c>
      <c r="C26" s="362" t="s">
        <v>111</v>
      </c>
      <c r="D26" s="17">
        <v>100</v>
      </c>
      <c r="E26" t="str">
        <f>IF(D26&gt;D20,"INVALID ENTRY, AIP IS TOO HIGH","")</f>
        <v/>
      </c>
      <c r="F26" s="309"/>
      <c r="G26" s="309"/>
      <c r="I26" s="309"/>
    </row>
    <row r="27" spans="2:15">
      <c r="B27" s="362" t="s">
        <v>428</v>
      </c>
      <c r="C27" s="362" t="s">
        <v>111</v>
      </c>
      <c r="D27" s="17">
        <v>200</v>
      </c>
      <c r="E27" t="str" cm="1">
        <f t="array" ref="E27">_xlfn.IFS(D27&gt;D21,"INVALID ENTRY, AIP IS TOO WIDE",D27&lt;200,"INVALID ENTRY, AIP IS TOO NARROW",AND(D27&lt;=D21,D27&gt;=200),"")</f>
        <v/>
      </c>
      <c r="G27" s="162"/>
      <c r="I27" s="162"/>
      <c r="L27" s="162" t="s">
        <v>219</v>
      </c>
    </row>
    <row r="28" spans="2:15">
      <c r="B28" s="514"/>
      <c r="C28" s="514"/>
      <c r="D28" s="654"/>
    </row>
    <row r="29" spans="2:15" ht="13.15">
      <c r="B29" s="3" t="s">
        <v>376</v>
      </c>
      <c r="E29" s="43"/>
    </row>
    <row r="30" spans="2:15">
      <c r="B30" s="19"/>
      <c r="C30" s="20"/>
      <c r="D30" s="20"/>
      <c r="E30" s="20"/>
      <c r="F30" s="20"/>
      <c r="G30" s="20"/>
      <c r="H30" s="20"/>
      <c r="I30" s="20"/>
      <c r="J30" s="20"/>
      <c r="K30" s="20"/>
      <c r="L30" s="20"/>
      <c r="M30" s="20"/>
      <c r="N30" s="20"/>
      <c r="O30" s="21"/>
    </row>
    <row r="31" spans="2:15">
      <c r="B31" s="248" t="s">
        <v>304</v>
      </c>
      <c r="C31" s="374"/>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unA//NHjGhRmoEJNKZ1LPhVhb0XIgjb+RhVp05OTq1uxf5sjVbaqeqJTSfPZgD6v+UDS/A5rM3V4OGVOGpq7pQ==" saltValue="cLmlcEDhkLXjNyufBBCuBA==" spinCount="100000" sheet="1" scenarios="1" insertHyperlinks="0"/>
  <protectedRanges>
    <protectedRange sqref="D4:D5 D8 D17 D26 D27 B30:O188" name="Bereich1"/>
  </protectedRanges>
  <mergeCells count="3">
    <mergeCell ref="F20:K21"/>
    <mergeCell ref="B4:C4"/>
    <mergeCell ref="B5:C5"/>
  </mergeCells>
  <phoneticPr fontId="3" type="noConversion"/>
  <conditionalFormatting sqref="D4">
    <cfRule type="cellIs" dxfId="352" priority="2" operator="between">
      <formula>100</formula>
      <formula>350</formula>
    </cfRule>
    <cfRule type="cellIs" dxfId="351" priority="6" stopIfTrue="1" operator="greaterThan">
      <formula>350</formula>
    </cfRule>
    <cfRule type="cellIs" dxfId="350" priority="7" stopIfTrue="1" operator="lessThan">
      <formula>130</formula>
    </cfRule>
  </conditionalFormatting>
  <conditionalFormatting sqref="D5">
    <cfRule type="cellIs" dxfId="349" priority="3" operator="equal">
      <formula>"N/A"</formula>
    </cfRule>
    <cfRule type="cellIs" dxfId="348" priority="4" operator="equal">
      <formula>"No"</formula>
    </cfRule>
    <cfRule type="cellIs" dxfId="347" priority="5" operator="equal">
      <formula>"yes"</formula>
    </cfRule>
  </conditionalFormatting>
  <conditionalFormatting sqref="D26">
    <cfRule type="cellIs" dxfId="346" priority="9" stopIfTrue="1" operator="greaterThan">
      <formula>$D$20</formula>
    </cfRule>
    <cfRule type="cellIs" dxfId="345" priority="154" stopIfTrue="1" operator="lessThan">
      <formula>100</formula>
    </cfRule>
  </conditionalFormatting>
  <conditionalFormatting sqref="D27">
    <cfRule type="cellIs" dxfId="344" priority="1" operator="lessThan">
      <formula>200</formula>
    </cfRule>
    <cfRule type="cellIs" dxfId="343" priority="8" stopIfTrue="1" operator="greaterThan">
      <formula>$D$21</formula>
    </cfRule>
  </conditionalFormatting>
  <conditionalFormatting sqref="F17">
    <cfRule type="expression" dxfId="342" priority="22" stopIfTrue="1">
      <formula>F17="No action required"</formula>
    </cfRule>
    <cfRule type="expression" dxfId="341" priority="23" stopIfTrue="1">
      <formula>I25="T3.17.4 applies"</formula>
    </cfRule>
  </conditionalFormatting>
  <conditionalFormatting sqref="F20">
    <cfRule type="expression" dxfId="340" priority="158" stopIfTrue="1">
      <formula>F20="No action required"</formula>
    </cfRule>
    <cfRule type="expression" dxfId="339" priority="159" stopIfTrue="1">
      <formula>I22="T3.17.4 applies"</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V190"/>
  <sheetViews>
    <sheetView showGridLines="0" view="pageBreakPreview" topLeftCell="A43" zoomScaleNormal="100" zoomScaleSheetLayoutView="100" workbookViewId="0">
      <selection activeCell="F54" sqref="F54"/>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22" ht="15">
      <c r="B1" s="1" t="s">
        <v>437</v>
      </c>
    </row>
    <row r="2" spans="2:22" ht="13.15">
      <c r="C2" s="1223" t="s">
        <v>351</v>
      </c>
      <c r="D2" s="1266"/>
      <c r="E2" s="1224"/>
      <c r="F2" s="1246" t="s">
        <v>207</v>
      </c>
      <c r="G2" s="1247"/>
    </row>
    <row r="4" spans="2:22" ht="25.5" customHeight="1">
      <c r="B4" s="41" t="s">
        <v>326</v>
      </c>
      <c r="C4" s="52" t="s">
        <v>327</v>
      </c>
      <c r="D4" s="3"/>
      <c r="E4" s="52" t="s">
        <v>438</v>
      </c>
      <c r="F4" s="52" t="s">
        <v>431</v>
      </c>
      <c r="G4" s="52" t="s">
        <v>432</v>
      </c>
      <c r="H4" s="52" t="s">
        <v>433</v>
      </c>
      <c r="I4" s="52" t="s">
        <v>439</v>
      </c>
      <c r="J4" s="83" t="s">
        <v>440</v>
      </c>
      <c r="K4" s="52" t="s">
        <v>353</v>
      </c>
      <c r="M4" s="943"/>
      <c r="N4" s="943"/>
      <c r="O4" s="943"/>
      <c r="P4" s="943"/>
      <c r="Q4" s="943"/>
      <c r="R4" s="943"/>
      <c r="S4" s="3" t="s">
        <v>441</v>
      </c>
      <c r="T4" s="142" t="s">
        <v>354</v>
      </c>
      <c r="U4" s="142" t="s">
        <v>355</v>
      </c>
    </row>
    <row r="5" spans="2:22">
      <c r="B5" s="362" t="s">
        <v>329</v>
      </c>
      <c r="C5" s="35" t="s">
        <v>175</v>
      </c>
      <c r="E5" s="17" t="s">
        <v>175</v>
      </c>
      <c r="F5" s="17" t="s">
        <v>175</v>
      </c>
      <c r="G5" s="17" t="s">
        <v>175</v>
      </c>
      <c r="H5" s="67"/>
      <c r="I5" s="17" t="s">
        <v>178</v>
      </c>
      <c r="J5" s="38" t="s">
        <v>178</v>
      </c>
      <c r="K5" s="69"/>
      <c r="M5" s="943"/>
      <c r="N5" s="943"/>
      <c r="O5" s="943"/>
      <c r="P5" s="943"/>
      <c r="Q5" s="943"/>
      <c r="R5" s="943"/>
      <c r="S5" s="351" t="s">
        <v>356</v>
      </c>
      <c r="T5">
        <f>I22/1000</f>
        <v>0</v>
      </c>
      <c r="U5" s="140">
        <f>T5</f>
        <v>0</v>
      </c>
    </row>
    <row r="6" spans="2:22">
      <c r="B6" s="362" t="s">
        <v>357</v>
      </c>
      <c r="C6" s="589" t="s">
        <v>214</v>
      </c>
      <c r="E6" s="17" t="s">
        <v>214</v>
      </c>
      <c r="F6" s="17" t="s">
        <v>216</v>
      </c>
      <c r="G6" s="17" t="s">
        <v>214</v>
      </c>
      <c r="H6" s="69"/>
      <c r="I6" s="70" t="s">
        <v>358</v>
      </c>
      <c r="J6" s="589" t="s">
        <v>358</v>
      </c>
      <c r="K6" s="69"/>
      <c r="M6" s="943"/>
      <c r="N6" s="943"/>
      <c r="O6" s="943"/>
      <c r="P6" s="943"/>
      <c r="Q6" s="943"/>
      <c r="R6" s="943"/>
      <c r="S6" s="351" t="s">
        <v>359</v>
      </c>
      <c r="T6">
        <f>I21/1000</f>
        <v>0</v>
      </c>
      <c r="U6" s="140">
        <f>I20/1000</f>
        <v>0</v>
      </c>
    </row>
    <row r="7" spans="2:22">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c r="M7" s="943"/>
      <c r="N7" s="943"/>
      <c r="O7" s="943"/>
      <c r="P7" s="943"/>
      <c r="Q7" s="943"/>
      <c r="R7" s="943"/>
    </row>
    <row r="8" spans="2:22" ht="15">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M8" s="943"/>
      <c r="N8" s="943"/>
      <c r="O8" s="943"/>
      <c r="P8" s="943"/>
      <c r="Q8" s="943"/>
      <c r="R8" s="943"/>
      <c r="S8" s="351" t="s">
        <v>360</v>
      </c>
      <c r="T8" s="43">
        <f>T5*T6</f>
        <v>0</v>
      </c>
      <c r="U8" s="351" t="s">
        <v>361</v>
      </c>
      <c r="V8" s="43">
        <f>(T5*T6^3)/12</f>
        <v>0</v>
      </c>
    </row>
    <row r="9" spans="2:22" ht="15">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M9" s="943"/>
      <c r="N9" s="943"/>
      <c r="O9" s="943"/>
      <c r="P9" s="943"/>
      <c r="Q9" s="943"/>
      <c r="R9" s="943"/>
      <c r="S9" s="351" t="s">
        <v>362</v>
      </c>
      <c r="T9" s="43">
        <f>U5*U6</f>
        <v>0</v>
      </c>
      <c r="U9" s="351" t="s">
        <v>363</v>
      </c>
      <c r="V9" s="43">
        <f>(U5*U6^3)/12</f>
        <v>0</v>
      </c>
    </row>
    <row r="10" spans="2:22" ht="15">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M10" s="943"/>
      <c r="N10" s="943"/>
      <c r="O10" s="943"/>
      <c r="P10" s="943"/>
      <c r="Q10" s="943"/>
      <c r="R10" s="943"/>
      <c r="S10" s="351" t="s">
        <v>364</v>
      </c>
      <c r="T10">
        <f>T6/2</f>
        <v>0</v>
      </c>
      <c r="U10" s="351" t="s">
        <v>365</v>
      </c>
      <c r="V10" s="43" t="e">
        <f>V8+(T8*($T$12-T10)^2)</f>
        <v>#DIV/0!</v>
      </c>
    </row>
    <row r="11" spans="2:22" ht="15">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M11" s="943"/>
      <c r="N11" s="943"/>
      <c r="O11" s="943"/>
      <c r="P11" s="943"/>
      <c r="Q11" s="943"/>
      <c r="R11" s="943"/>
      <c r="S11" s="351" t="s">
        <v>366</v>
      </c>
      <c r="T11">
        <f>(I18-0.5*I20)*0.001</f>
        <v>0</v>
      </c>
      <c r="U11" s="351" t="s">
        <v>367</v>
      </c>
      <c r="V11" s="43" t="e">
        <f>V9+(T9*($T$12-T11)^2)</f>
        <v>#DIV/0!</v>
      </c>
    </row>
    <row r="12" spans="2:22" ht="15">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M12" s="943"/>
      <c r="N12" s="943"/>
      <c r="O12" s="943"/>
      <c r="P12" s="943"/>
      <c r="Q12" s="943"/>
      <c r="R12" s="943"/>
      <c r="S12" s="351" t="s">
        <v>368</v>
      </c>
      <c r="T12" s="141" t="e">
        <f>(T8*T10+T9*T11)/(T8+T9)</f>
        <v>#DIV/0!</v>
      </c>
      <c r="U12" s="351" t="s">
        <v>369</v>
      </c>
      <c r="V12" s="144" t="e">
        <f>SUM(V10:V11)</f>
        <v>#DIV/0!</v>
      </c>
    </row>
    <row r="13" spans="2:22">
      <c r="B13" s="362" t="s">
        <v>442</v>
      </c>
      <c r="C13" s="176" t="s">
        <v>111</v>
      </c>
      <c r="E13" s="605" t="s">
        <v>1027</v>
      </c>
      <c r="F13" s="176" t="s">
        <v>111</v>
      </c>
      <c r="G13" s="176" t="s">
        <v>111</v>
      </c>
      <c r="H13" s="69"/>
      <c r="I13" s="67"/>
      <c r="K13" s="69"/>
      <c r="M13" s="943"/>
      <c r="N13" s="943"/>
      <c r="O13" s="943"/>
      <c r="P13" s="943"/>
      <c r="Q13" s="943"/>
      <c r="R13" s="943"/>
      <c r="V13" s="43"/>
    </row>
    <row r="14" spans="2:22" ht="13.15">
      <c r="B14" s="983" t="s">
        <v>370</v>
      </c>
      <c r="C14" s="35">
        <v>3</v>
      </c>
      <c r="E14" s="17">
        <v>3</v>
      </c>
      <c r="F14" s="17">
        <v>0</v>
      </c>
      <c r="G14" s="17">
        <v>0</v>
      </c>
      <c r="H14" s="69"/>
      <c r="I14" s="69"/>
      <c r="K14" s="69"/>
      <c r="M14" s="943"/>
      <c r="N14" s="943"/>
      <c r="O14" s="943"/>
      <c r="P14" s="943"/>
      <c r="Q14" s="943"/>
      <c r="R14" s="943"/>
      <c r="S14" s="3" t="s">
        <v>444</v>
      </c>
      <c r="T14" s="142" t="s">
        <v>354</v>
      </c>
      <c r="U14" s="142" t="s">
        <v>355</v>
      </c>
    </row>
    <row r="15" spans="2:22">
      <c r="B15" s="42" t="s">
        <v>332</v>
      </c>
      <c r="C15" s="35">
        <v>25.4</v>
      </c>
      <c r="E15" s="17">
        <v>28</v>
      </c>
      <c r="F15" s="17">
        <v>25.4</v>
      </c>
      <c r="G15" s="17">
        <v>25.4</v>
      </c>
      <c r="H15" s="69"/>
      <c r="I15" s="69"/>
      <c r="K15" s="69"/>
      <c r="M15" s="943"/>
      <c r="N15" s="943"/>
      <c r="O15" s="943"/>
      <c r="P15" s="943"/>
      <c r="Q15" s="943"/>
      <c r="R15" s="943"/>
      <c r="S15" s="351" t="s">
        <v>356</v>
      </c>
      <c r="T15">
        <f>J21/1000</f>
        <v>0</v>
      </c>
      <c r="U15" s="140">
        <f>J20/1000</f>
        <v>0</v>
      </c>
    </row>
    <row r="16" spans="2:22">
      <c r="B16" s="42" t="s">
        <v>333</v>
      </c>
      <c r="C16" s="35">
        <v>1.6</v>
      </c>
      <c r="E16" s="17">
        <v>1.5</v>
      </c>
      <c r="F16" s="17">
        <v>1.6</v>
      </c>
      <c r="G16" s="17">
        <v>1.6</v>
      </c>
      <c r="H16" s="69"/>
      <c r="I16" s="69"/>
      <c r="K16" s="69"/>
      <c r="M16" s="943"/>
      <c r="N16" s="943"/>
      <c r="O16" s="943"/>
      <c r="P16" s="943"/>
      <c r="Q16" s="943"/>
      <c r="R16" s="943"/>
      <c r="S16" s="351" t="s">
        <v>359</v>
      </c>
      <c r="T16">
        <f>J22/1000</f>
        <v>0</v>
      </c>
      <c r="U16" s="140">
        <f>J22/1000</f>
        <v>0</v>
      </c>
    </row>
    <row r="17" spans="2:22">
      <c r="E17" s="39"/>
      <c r="F17" s="84" t="s">
        <v>434</v>
      </c>
      <c r="G17" s="49" t="str">
        <f>IF(AND(L27&gt;=100,F2="tubing only",NOT(OR(E18="NO",F18="NO",G18="NO"))),"YES","NO")</f>
        <v>NO</v>
      </c>
      <c r="H17" s="69"/>
      <c r="I17" s="71"/>
      <c r="K17" s="69"/>
      <c r="M17" s="943"/>
      <c r="N17" s="943"/>
      <c r="O17" s="943"/>
      <c r="P17" s="943"/>
      <c r="Q17" s="943"/>
      <c r="R17" s="943"/>
    </row>
    <row r="18" spans="2:22" ht="12.75" customHeight="1">
      <c r="B18" s="42" t="s">
        <v>371</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M18" s="943"/>
      <c r="N18" s="943"/>
      <c r="O18" s="943"/>
      <c r="P18" s="943"/>
      <c r="Q18" s="943"/>
      <c r="R18" s="943"/>
      <c r="S18" s="351" t="s">
        <v>360</v>
      </c>
      <c r="T18" s="43">
        <f>T15*T16</f>
        <v>0</v>
      </c>
      <c r="U18" s="351" t="s">
        <v>361</v>
      </c>
      <c r="V18" s="43">
        <f>(T15^3*T16)/12</f>
        <v>0</v>
      </c>
    </row>
    <row r="19" spans="2:22" ht="12.75" customHeight="1">
      <c r="B19" s="42" t="s">
        <v>372</v>
      </c>
      <c r="E19" s="4"/>
      <c r="G19" s="15"/>
      <c r="H19" s="69"/>
      <c r="I19" s="38"/>
      <c r="J19" s="17"/>
      <c r="K19" s="69"/>
      <c r="M19" s="943"/>
      <c r="N19" s="943"/>
      <c r="O19" s="943"/>
      <c r="P19" s="943"/>
      <c r="Q19" s="943"/>
      <c r="R19" s="943"/>
      <c r="S19" s="351" t="s">
        <v>362</v>
      </c>
      <c r="T19" s="43">
        <f>U15*U16</f>
        <v>0</v>
      </c>
      <c r="U19" s="351" t="s">
        <v>363</v>
      </c>
      <c r="V19" s="43">
        <f>(U15^3*U16)/12</f>
        <v>0</v>
      </c>
    </row>
    <row r="20" spans="2:22" ht="12.75" customHeight="1">
      <c r="B20" s="42" t="s">
        <v>373</v>
      </c>
      <c r="E20" s="4"/>
      <c r="G20" s="15"/>
      <c r="H20" s="69"/>
      <c r="I20" s="796"/>
      <c r="J20" s="796"/>
      <c r="K20" s="69"/>
      <c r="M20" s="361" t="str">
        <f>IF(OR(I20&lt;0.4*I21,J20&lt;0.4*J21),"Asymmetrical lay-up: skin too thin in comparison, see T3.4.4.","")</f>
        <v/>
      </c>
      <c r="N20" s="943"/>
      <c r="O20" s="943"/>
      <c r="P20" s="943"/>
      <c r="Q20" s="943"/>
      <c r="R20" s="943"/>
      <c r="S20" s="351" t="s">
        <v>380</v>
      </c>
      <c r="T20">
        <f>J21/2000</f>
        <v>0</v>
      </c>
      <c r="U20" s="351" t="s">
        <v>365</v>
      </c>
      <c r="V20" s="43" t="e">
        <f>V18+(T18*($T$22-T20)^2)</f>
        <v>#DIV/0!</v>
      </c>
    </row>
    <row r="21" spans="2:22" ht="12.75" customHeight="1">
      <c r="B21" s="362" t="s">
        <v>374</v>
      </c>
      <c r="E21" s="4"/>
      <c r="G21" s="15"/>
      <c r="H21" s="69"/>
      <c r="I21" s="796"/>
      <c r="J21" s="796"/>
      <c r="K21" s="69"/>
      <c r="M21" s="944" t="str">
        <f>IF(OR(I21&lt;0.4*I20,J21&lt;0.4*J20),"Asymmetrical lay-up: skin too thin in comparison, see T3.4.4.","")</f>
        <v/>
      </c>
      <c r="N21" s="943"/>
      <c r="O21" s="943"/>
      <c r="P21" s="943"/>
      <c r="Q21" s="943"/>
      <c r="R21" s="943"/>
      <c r="S21" s="351" t="s">
        <v>381</v>
      </c>
      <c r="T21">
        <f>(J18-0.5*J20)*0.001</f>
        <v>0</v>
      </c>
      <c r="U21" s="351" t="s">
        <v>367</v>
      </c>
      <c r="V21" s="43" t="e">
        <f>V19+(T19*($T$22-T21)^2)</f>
        <v>#DIV/0!</v>
      </c>
    </row>
    <row r="22" spans="2:22" ht="12.75" customHeight="1">
      <c r="B22" s="362" t="s">
        <v>445</v>
      </c>
      <c r="E22" s="4"/>
      <c r="G22" s="15"/>
      <c r="H22" s="69"/>
      <c r="I22" s="38"/>
      <c r="J22" s="17"/>
      <c r="K22" s="69"/>
      <c r="M22" s="943"/>
      <c r="N22" s="943"/>
      <c r="O22" s="943"/>
      <c r="P22" s="943"/>
      <c r="Q22" s="943"/>
      <c r="R22" s="943"/>
      <c r="S22" s="351" t="s">
        <v>368</v>
      </c>
      <c r="T22" s="141" t="e">
        <f>(T18*T20+T19*T21)/(T18+T19)</f>
        <v>#DIV/0!</v>
      </c>
      <c r="U22" s="351" t="s">
        <v>369</v>
      </c>
      <c r="V22" s="144" t="e">
        <f>SUM(V20:V21)</f>
        <v>#DIV/0!</v>
      </c>
    </row>
    <row r="23" spans="2:22">
      <c r="E23" s="79"/>
      <c r="F23" s="80"/>
      <c r="G23" s="81"/>
      <c r="H23" s="69"/>
      <c r="I23" s="67"/>
      <c r="K23" s="69"/>
      <c r="M23" s="943"/>
      <c r="N23" s="943"/>
      <c r="O23" s="943"/>
      <c r="P23" s="945"/>
      <c r="Q23" s="943"/>
      <c r="R23" s="943"/>
    </row>
    <row r="24" spans="2:22">
      <c r="B24" s="42" t="s">
        <v>334</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2">
      <c r="B25" s="42" t="s">
        <v>335</v>
      </c>
      <c r="C25" s="35">
        <f>C16/1000</f>
        <v>1.6000000000000001E-3</v>
      </c>
      <c r="E25" s="35">
        <f>IF(E24="no tubes","",IF(E14=0,"",E16/1000))</f>
        <v>1.5E-3</v>
      </c>
      <c r="F25" s="35" t="str">
        <f>IF(F24="no tubes","",IF(F14=0,"",F16/1000))</f>
        <v/>
      </c>
      <c r="G25" s="35" t="str">
        <f>IF(G24="no tubes","",IF(G14=0,"",G16/1000))</f>
        <v/>
      </c>
      <c r="H25" s="71"/>
      <c r="I25" s="71"/>
      <c r="K25" s="71"/>
      <c r="P25" s="43"/>
      <c r="T25" s="44"/>
    </row>
    <row r="26" spans="2:22">
      <c r="B26" s="42" t="s">
        <v>336</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Only",V12)</f>
        <v>Tubing Only</v>
      </c>
      <c r="J26" s="73" t="str">
        <f>IF($F$2="Tubing only","Tubing Only",V22)</f>
        <v>Tubing Only</v>
      </c>
      <c r="K26" s="36">
        <f>IF($F$2="Tubing only",H26,IF($F$2="Composite only",I26+J26,IF($F$2="Tubes + Composite",H26+I26+J26,"No Type Selected")))</f>
        <v>1.0998521906249999E-8</v>
      </c>
      <c r="P26" s="43"/>
      <c r="S26" s="43"/>
      <c r="T26" s="44"/>
    </row>
    <row r="27" spans="2:22">
      <c r="B27" s="42" t="s">
        <v>337</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15"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2">
      <c r="B28" s="42" t="s">
        <v>338</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1">
        <f>IF(AND($F$2="tubing only",AND(E5="steel",F5="steel",G5="steel")),100*K28/C28,"NA")</f>
        <v>104.38550420168067</v>
      </c>
      <c r="M28" t="str">
        <f>IF(AND(95&lt;L28,L28&lt;100),"For tubes only, provided your actual tube measures &gt;= your nominal OD and wall this is OK","")</f>
        <v/>
      </c>
      <c r="S28" s="43"/>
    </row>
    <row r="29" spans="2:22">
      <c r="B29" s="42" t="s">
        <v>339</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2">
      <c r="B30" s="42" t="s">
        <v>340</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2">
      <c r="B31" s="42" t="s">
        <v>341</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2">
      <c r="B32" s="42" t="s">
        <v>342</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343</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344</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345</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2" t="s">
        <v>219</v>
      </c>
      <c r="O35" s="162"/>
      <c r="P35" s="162"/>
    </row>
    <row r="36" spans="2:16">
      <c r="C36" s="319">
        <f>0.99*C27/C14</f>
        <v>1684.9638590400007</v>
      </c>
      <c r="D36" s="50"/>
      <c r="E36" s="319">
        <f>IF(AND($F$2="tubing only",E14&gt;0),E27/E14,9E+99)</f>
        <v>2199.7043812499996</v>
      </c>
      <c r="F36" s="319">
        <f>IF(AND($F$2="tubing only",F14&gt;0),F27/F14,9E+99)</f>
        <v>8.9999999999999999E+99</v>
      </c>
      <c r="G36" s="319">
        <f>IF(AND($F$2="tubing only",G14&gt;0),G27/G14,9E+99)</f>
        <v>8.9999999999999999E+99</v>
      </c>
      <c r="H36" s="514"/>
    </row>
    <row r="37" spans="2:16" ht="13.15">
      <c r="B37" s="3" t="s">
        <v>376</v>
      </c>
      <c r="E37" s="43"/>
    </row>
    <row r="38" spans="2:16">
      <c r="B38" s="984" t="s">
        <v>377</v>
      </c>
      <c r="C38" s="20"/>
      <c r="D38" s="20"/>
      <c r="E38" s="20"/>
      <c r="F38" s="20"/>
      <c r="G38" s="20"/>
      <c r="H38" s="20"/>
      <c r="I38" s="20"/>
      <c r="J38" s="20"/>
      <c r="K38" s="20"/>
      <c r="L38" s="20"/>
      <c r="M38" s="20"/>
      <c r="N38" s="20"/>
      <c r="O38" s="20"/>
      <c r="P38" s="21"/>
    </row>
    <row r="39" spans="2:16">
      <c r="B39" s="985" t="s">
        <v>378</v>
      </c>
      <c r="C39" s="26"/>
      <c r="D39" s="26"/>
      <c r="E39" s="26"/>
      <c r="F39" s="26"/>
      <c r="G39" s="26"/>
      <c r="H39" s="26"/>
      <c r="I39" s="26"/>
      <c r="J39" s="26"/>
      <c r="K39" s="26"/>
      <c r="L39" s="26"/>
      <c r="M39" s="26"/>
      <c r="N39" s="26"/>
      <c r="O39" s="26"/>
      <c r="P39" s="27"/>
    </row>
    <row r="40" spans="2:16">
      <c r="B40" s="25"/>
      <c r="C40" s="26"/>
      <c r="D40" s="26"/>
      <c r="E40" s="26"/>
      <c r="F40" s="26"/>
      <c r="G40" s="26"/>
      <c r="H40" s="374"/>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OhVem/ikEtFMzQbHlqzUaxdLmYfUyJbKcndJW/bks/qu7syDr+FfMZJ0sqKl2WRdMdZa94e9Y5uRzVlhU1pVrw==" saltValue="SxowlKMChjZ8Q6p7LoZ1Rw==" spinCount="100000" sheet="1" scenarios="1" insertHyperlinks="0"/>
  <protectedRanges>
    <protectedRange sqref="F2 E5:G6 I5:J5 E13 E14:G16 I19:J22 B38:P38 B40:P190 C39:P39" name="Bereich1"/>
    <protectedRange sqref="B39" name="Bereich1_1"/>
  </protectedRanges>
  <mergeCells count="2">
    <mergeCell ref="C2:E2"/>
    <mergeCell ref="F2:G2"/>
  </mergeCells>
  <phoneticPr fontId="2" type="noConversion"/>
  <conditionalFormatting sqref="E16:G16">
    <cfRule type="cellIs" dxfId="338" priority="15" stopIfTrue="1" operator="lessThan">
      <formula>1.2</formula>
    </cfRule>
  </conditionalFormatting>
  <conditionalFormatting sqref="E27:G33">
    <cfRule type="cellIs" dxfId="337" priority="29" stopIfTrue="1" operator="lessThan">
      <formula>0.95*$C27*(E$14/$C$14)</formula>
    </cfRule>
  </conditionalFormatting>
  <conditionalFormatting sqref="E35:G35">
    <cfRule type="cellIs" dxfId="336" priority="27" stopIfTrue="1" operator="lessThan">
      <formula>0.95*$C35*(E$14/$C$14)</formula>
    </cfRule>
  </conditionalFormatting>
  <conditionalFormatting sqref="I22">
    <cfRule type="cellIs" dxfId="335" priority="17" stopIfTrue="1" operator="greaterThan">
      <formula>320</formula>
    </cfRule>
    <cfRule type="cellIs" dxfId="334" priority="18" stopIfTrue="1" operator="greaterThan">
      <formula>320</formula>
    </cfRule>
  </conditionalFormatting>
  <conditionalFormatting sqref="I27">
    <cfRule type="cellIs" dxfId="333" priority="13" stopIfTrue="1" operator="lessThan">
      <formula>$C$27*(2/3)</formula>
    </cfRule>
  </conditionalFormatting>
  <conditionalFormatting sqref="I20:J20">
    <cfRule type="expression" dxfId="332" priority="3">
      <formula>I20&lt;0.4*I21</formula>
    </cfRule>
  </conditionalFormatting>
  <conditionalFormatting sqref="I21:J21">
    <cfRule type="expression" dxfId="331" priority="1">
      <formula>I21&lt;0.4*I20</formula>
    </cfRule>
  </conditionalFormatting>
  <conditionalFormatting sqref="J27">
    <cfRule type="cellIs" dxfId="330" priority="21" stopIfTrue="1" operator="lessThan">
      <formula>$C$27/3</formula>
    </cfRule>
  </conditionalFormatting>
  <conditionalFormatting sqref="L27">
    <cfRule type="cellIs" dxfId="329" priority="46" stopIfTrue="1" operator="lessThan">
      <formula>50</formula>
    </cfRule>
    <cfRule type="cellIs" dxfId="328" priority="47" stopIfTrue="1" operator="between">
      <formula>50</formula>
      <formula>100</formula>
    </cfRule>
  </conditionalFormatting>
  <conditionalFormatting sqref="L27:L33">
    <cfRule type="cellIs" dxfId="327" priority="41" stopIfTrue="1" operator="greaterThanOrEqual">
      <formula>100</formula>
    </cfRule>
  </conditionalFormatting>
  <conditionalFormatting sqref="L28:L33">
    <cfRule type="cellIs" dxfId="326" priority="42" stopIfTrue="1" operator="lessThan">
      <formula>100</formula>
    </cfRule>
  </conditionalFormatting>
  <conditionalFormatting sqref="L34">
    <cfRule type="cellIs" dxfId="325" priority="19" stopIfTrue="1" operator="equal">
      <formula>"NA"</formula>
    </cfRule>
    <cfRule type="cellIs" dxfId="324" priority="32" stopIfTrue="1" operator="between">
      <formula>100.1</formula>
      <formula>200</formula>
    </cfRule>
    <cfRule type="cellIs" dxfId="323" priority="43" stopIfTrue="1" operator="greaterThan">
      <formula>200</formula>
    </cfRule>
    <cfRule type="cellIs" dxfId="322" priority="44" stopIfTrue="1" operator="lessThanOrEqual">
      <formula>100</formula>
    </cfRule>
  </conditionalFormatting>
  <conditionalFormatting sqref="L35">
    <cfRule type="cellIs" dxfId="321" priority="23" stopIfTrue="1" operator="greaterThanOrEqual">
      <formula>100</formula>
    </cfRule>
    <cfRule type="cellIs" dxfId="320" priority="24" stopIfTrue="1" operator="lessThan">
      <formula>100</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I5:J5" xr:uid="{00000000-0002-0000-0E00-000005000000}">
      <formula1>Material</formula1>
    </dataValidation>
    <dataValidation type="list" allowBlank="1" showInputMessage="1" showErrorMessage="1" promptTitle="Select Material" sqref="E5:G5" xr:uid="{2F889FB7-AF03-4B6F-AF26-3F64CBE566E0}">
      <formula1>Metallic_Mats</formula1>
    </dataValidation>
  </dataValidations>
  <hyperlinks>
    <hyperlink ref="N35" location="'Cover Sheet'!A1" display="BACK to COVER SHEET" xr:uid="{00000000-0004-0000-0E00-000001000000}"/>
    <hyperlink ref="N35:P35" location="'Cover Sheet'!A1" display="BACK to COVER SHEET" xr:uid="{00000000-0004-0000-0E00-000002000000}"/>
    <hyperlink ref="B38" location="'T3.15 T3.5 Guidance Notes'!A1" display="Link to guidance notes for laminated structures" xr:uid="{B671CAAA-2164-4E8A-9AAC-6E8860CC2142}"/>
    <hyperlink ref="B39" location="'T3.5 Guidance Notes'!A1" display="Link to GUIDANCE NOTES for anisotropic laminates" xr:uid="{48812E6F-D1CC-4912-B5E8-642BDC00469F}"/>
    <hyperlink ref="B14" location="'T1.1 Guidance Notes'!A1" display="Number of tubes" xr:uid="{18B5B5FE-B766-4965-ABCB-ECA02870F20B}"/>
  </hyperlinks>
  <pageMargins left="0.75" right="0.75" top="1" bottom="1" header="0.5" footer="0.5"/>
  <pageSetup paperSize="9" scale="41" fitToHeight="2" orientation="portrait" horizontalDpi="4294967294"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9"/>
  <sheetViews>
    <sheetView showGridLines="0" workbookViewId="0">
      <selection activeCell="E16" sqref="E16"/>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9" customWidth="1"/>
    <col min="9" max="9" width="8.6640625" customWidth="1"/>
    <col min="10" max="12" width="11.46484375" customWidth="1"/>
    <col min="13" max="13" width="3.53125" customWidth="1"/>
    <col min="15" max="15" width="40.86328125" bestFit="1" customWidth="1"/>
  </cols>
  <sheetData>
    <row r="1" spans="2:12" ht="15">
      <c r="B1" s="1" t="s">
        <v>446</v>
      </c>
    </row>
    <row r="2" spans="2:12" ht="13.15">
      <c r="C2" s="1223" t="s">
        <v>351</v>
      </c>
      <c r="D2" s="1223"/>
      <c r="E2" s="1223"/>
      <c r="F2" s="1246" t="s">
        <v>207</v>
      </c>
      <c r="G2" s="1267"/>
    </row>
    <row r="4" spans="2:12" ht="13.15">
      <c r="B4" s="41" t="s">
        <v>326</v>
      </c>
      <c r="C4" s="41" t="s">
        <v>327</v>
      </c>
      <c r="D4" s="3"/>
      <c r="E4" s="41" t="s">
        <v>328</v>
      </c>
      <c r="F4" s="76" t="s">
        <v>352</v>
      </c>
      <c r="G4" s="41" t="s">
        <v>353</v>
      </c>
      <c r="I4" s="3"/>
      <c r="J4" s="142" t="s">
        <v>354</v>
      </c>
      <c r="K4" s="142" t="s">
        <v>355</v>
      </c>
    </row>
    <row r="5" spans="2:12">
      <c r="B5" s="362" t="s">
        <v>329</v>
      </c>
      <c r="C5" s="35" t="s">
        <v>175</v>
      </c>
      <c r="E5" s="17" t="s">
        <v>175</v>
      </c>
      <c r="F5" s="38" t="s">
        <v>183</v>
      </c>
      <c r="G5" s="69"/>
      <c r="I5" s="351" t="s">
        <v>356</v>
      </c>
      <c r="J5">
        <f>F24/1000</f>
        <v>0</v>
      </c>
      <c r="K5" s="140">
        <f>J5</f>
        <v>0</v>
      </c>
    </row>
    <row r="6" spans="2:12">
      <c r="B6" s="362" t="s">
        <v>357</v>
      </c>
      <c r="C6" s="35" t="s">
        <v>214</v>
      </c>
      <c r="E6" s="605" t="s">
        <v>214</v>
      </c>
      <c r="F6" s="70" t="s">
        <v>111</v>
      </c>
      <c r="G6" s="69"/>
      <c r="I6" s="351" t="s">
        <v>359</v>
      </c>
      <c r="J6">
        <f>F23/1000</f>
        <v>0</v>
      </c>
      <c r="K6" s="140">
        <f>F22/1000</f>
        <v>0</v>
      </c>
    </row>
    <row r="7" spans="2:12">
      <c r="B7" s="42" t="s">
        <v>331</v>
      </c>
      <c r="C7" s="36" t="str">
        <f>HLOOKUP(C5,MaterialData!$C$3:$O$4,2,FALSE)</f>
        <v>Steel</v>
      </c>
      <c r="D7" s="43"/>
      <c r="E7" s="36" t="str">
        <f>HLOOKUP(E5,MaterialData!$C$3:$R$4,2,FALSE)</f>
        <v>Steel</v>
      </c>
      <c r="F7" s="36">
        <f>HLOOKUP(F5,MaterialData!$C$3:$R$4,2,FALSE)</f>
        <v>0</v>
      </c>
      <c r="G7" s="51"/>
    </row>
    <row r="8" spans="2:12" ht="15">
      <c r="B8" s="42" t="s">
        <v>194</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51" t="s">
        <v>360</v>
      </c>
      <c r="J8" s="43">
        <f>J5*J6</f>
        <v>0</v>
      </c>
      <c r="K8" s="351" t="s">
        <v>361</v>
      </c>
      <c r="L8" s="43">
        <f>(J5*J6^3)/12</f>
        <v>0</v>
      </c>
    </row>
    <row r="9" spans="2:12" ht="15">
      <c r="B9" s="42" t="s">
        <v>195</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51" t="s">
        <v>362</v>
      </c>
      <c r="J9" s="43">
        <f>K5*K6</f>
        <v>0</v>
      </c>
      <c r="K9" s="351" t="s">
        <v>363</v>
      </c>
      <c r="L9" s="43">
        <f>(K5*K6^3)/12</f>
        <v>0</v>
      </c>
    </row>
    <row r="10" spans="2:12" ht="15">
      <c r="B10" s="42" t="s">
        <v>196</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51" t="s">
        <v>397</v>
      </c>
      <c r="J10">
        <f>J6/2</f>
        <v>0</v>
      </c>
      <c r="K10" s="351" t="s">
        <v>365</v>
      </c>
      <c r="L10" s="43" t="e">
        <f>L8+(J8*($J$12-J10)^2)</f>
        <v>#DIV/0!</v>
      </c>
    </row>
    <row r="11" spans="2:12" ht="15">
      <c r="B11" s="42" t="s">
        <v>197</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51" t="s">
        <v>399</v>
      </c>
      <c r="J11">
        <f>(F20-0.5*F22)*0.001</f>
        <v>0</v>
      </c>
      <c r="K11" s="351" t="s">
        <v>367</v>
      </c>
      <c r="L11" s="43" t="e">
        <f>L9+(J9*($J$12-J11)^2)</f>
        <v>#DIV/0!</v>
      </c>
    </row>
    <row r="12" spans="2:12" ht="15">
      <c r="B12" s="42" t="s">
        <v>198</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51" t="s">
        <v>368</v>
      </c>
      <c r="J12" s="141" t="e">
        <f>(J8*J10+J9*J11)/(J8+J9)</f>
        <v>#DIV/0!</v>
      </c>
      <c r="K12" s="351" t="s">
        <v>369</v>
      </c>
      <c r="L12" s="144" t="e">
        <f>SUM(L10:L11)</f>
        <v>#DIV/0!</v>
      </c>
    </row>
    <row r="13" spans="2:12">
      <c r="E13" s="69"/>
      <c r="G13" s="69"/>
      <c r="L13" s="43"/>
    </row>
    <row r="14" spans="2:12">
      <c r="B14" s="983" t="s">
        <v>370</v>
      </c>
      <c r="C14" s="35">
        <v>1</v>
      </c>
      <c r="E14" s="17">
        <v>1</v>
      </c>
      <c r="G14" s="69"/>
      <c r="L14" s="43"/>
    </row>
    <row r="15" spans="2:12">
      <c r="B15" s="42" t="s">
        <v>332</v>
      </c>
      <c r="C15" s="35">
        <f>IF(AND(E15&gt;=25,E15&lt;25.4,E16&gt;=2.5),25,25.4)</f>
        <v>25.4</v>
      </c>
      <c r="E15" s="17">
        <v>30</v>
      </c>
      <c r="G15" s="69"/>
      <c r="L15" s="43"/>
    </row>
    <row r="16" spans="2:12">
      <c r="B16" s="67" t="s">
        <v>333</v>
      </c>
      <c r="C16" s="797">
        <f>IF(AND(E15&gt;=25,E15&lt;25.4,E16&gt;=2.5),2.5,2.4)</f>
        <v>2.4</v>
      </c>
      <c r="E16" s="17">
        <v>2</v>
      </c>
      <c r="G16" s="69"/>
      <c r="L16" s="43"/>
    </row>
    <row r="17" spans="2:16">
      <c r="B17" s="798" t="s">
        <v>447</v>
      </c>
      <c r="C17" s="799"/>
      <c r="E17" s="796">
        <v>400</v>
      </c>
      <c r="G17" s="69"/>
      <c r="L17" s="43"/>
    </row>
    <row r="18" spans="2:16">
      <c r="B18" s="798" t="s">
        <v>448</v>
      </c>
      <c r="C18" s="799"/>
      <c r="E18" s="796">
        <v>75</v>
      </c>
      <c r="G18" s="69"/>
      <c r="L18" s="43"/>
    </row>
    <row r="19" spans="2:16">
      <c r="E19" s="69"/>
      <c r="G19" s="69"/>
      <c r="L19" s="43"/>
    </row>
    <row r="20" spans="2:16">
      <c r="B20" s="42" t="s">
        <v>371</v>
      </c>
      <c r="E20" s="69"/>
      <c r="F20" s="137">
        <f>F21+F22+F23</f>
        <v>0</v>
      </c>
      <c r="G20" s="69"/>
      <c r="L20" s="43"/>
    </row>
    <row r="21" spans="2:16">
      <c r="B21" s="42" t="s">
        <v>372</v>
      </c>
      <c r="E21" s="69"/>
      <c r="F21" s="38"/>
      <c r="G21" s="69"/>
      <c r="L21" s="43"/>
    </row>
    <row r="22" spans="2:16" ht="13.15">
      <c r="B22" s="42" t="s">
        <v>373</v>
      </c>
      <c r="E22" s="69"/>
      <c r="F22" s="38"/>
      <c r="G22" s="69"/>
      <c r="I22" s="361" t="str">
        <f>IF(F22&lt;0.4*F23,"Asymmetrical lay-up: skin too thin in comparison, see T3.4.4.","")</f>
        <v/>
      </c>
      <c r="L22" s="43"/>
    </row>
    <row r="23" spans="2:16" ht="13.15">
      <c r="B23" s="362" t="s">
        <v>374</v>
      </c>
      <c r="E23" s="69"/>
      <c r="F23" s="38"/>
      <c r="G23" s="69"/>
      <c r="I23" s="361" t="str">
        <f>IF(F23&lt;0.4*F22,"Asymmetrical lay-up: skin too thin in comparison, see T3.4.4.","")</f>
        <v/>
      </c>
      <c r="L23" s="43"/>
    </row>
    <row r="24" spans="2:16">
      <c r="B24" s="128" t="s">
        <v>375</v>
      </c>
      <c r="E24" s="69"/>
      <c r="F24" s="38"/>
      <c r="G24" s="69"/>
      <c r="L24" s="43"/>
    </row>
    <row r="25" spans="2:16">
      <c r="E25" s="71"/>
      <c r="G25" s="69"/>
      <c r="L25" s="43"/>
    </row>
    <row r="26" spans="2:16">
      <c r="B26" s="42" t="s">
        <v>334</v>
      </c>
      <c r="C26" s="35">
        <f>C15/1000</f>
        <v>2.5399999999999999E-2</v>
      </c>
      <c r="E26" s="35">
        <f>IF(F2="Composite only","No tubes",E15/1000)</f>
        <v>0.03</v>
      </c>
      <c r="G26" s="69"/>
      <c r="L26" s="43"/>
    </row>
    <row r="27" spans="2:16">
      <c r="B27" s="42" t="s">
        <v>335</v>
      </c>
      <c r="C27" s="35">
        <f>C16/1000</f>
        <v>2.3999999999999998E-3</v>
      </c>
      <c r="E27" s="35">
        <f>IF(F2="Composite only","",E16/1000)</f>
        <v>2E-3</v>
      </c>
      <c r="G27" s="71"/>
      <c r="L27" s="43"/>
      <c r="P27" s="44"/>
    </row>
    <row r="28" spans="2:16">
      <c r="B28" s="42" t="s">
        <v>336</v>
      </c>
      <c r="C28" s="36">
        <f>IF(C6="Round",((C26)^4-((C26-2*C27))^4)*3.142/64,((C26)^4-((C26-2*C27))^4)/12)</f>
        <v>1.1593489847999996E-8</v>
      </c>
      <c r="E28" s="36">
        <f>IF(F2="Composite only","",IF(E6="Round",((E26)^4-((E26-2*E27))^4)*3.142/64,IF(E6="Square",((E26)^4-((E26-2*E27))^4)/12,"")))</f>
        <v>1.7331272000000002E-8</v>
      </c>
      <c r="F28" s="72" t="str">
        <f>IF($F$2="Tubing only","Tubing Only",L12)</f>
        <v>Tubing Only</v>
      </c>
      <c r="G28" s="36">
        <f t="shared" ref="G28:G35" si="0">IF($F$2="Tubing only",E28,IF($F$2="Composite only",F28,IF($F$2="Tubes + Composite",E28+F28,"No Type Selected")))</f>
        <v>1.7331272000000002E-8</v>
      </c>
      <c r="L28" s="43"/>
      <c r="O28" s="43"/>
      <c r="P28" s="44"/>
    </row>
    <row r="29" spans="2:16">
      <c r="B29" s="42" t="s">
        <v>337</v>
      </c>
      <c r="C29" s="36">
        <f>C8*C28*C14</f>
        <v>2318.6979695999994</v>
      </c>
      <c r="D29" s="43"/>
      <c r="E29" s="36">
        <f>IF(F2="Composite only","",E8*E28*E14)</f>
        <v>3466.2544000000003</v>
      </c>
      <c r="F29" s="73" t="str">
        <f>IF(F28="Tubing Only","",F28*F8)</f>
        <v/>
      </c>
      <c r="G29" s="36">
        <f t="shared" si="0"/>
        <v>3466.2544000000003</v>
      </c>
      <c r="H29" s="40">
        <f>100*G29/C29</f>
        <v>149.49141481320081</v>
      </c>
    </row>
    <row r="30" spans="2:16">
      <c r="B30" s="42" t="s">
        <v>338</v>
      </c>
      <c r="C30" s="37">
        <f>IF(C26="no tubes","",IF(C14=0,"",IF(C6="Round",C14*((C15^2-(C15-2*C16)^2)*PI()/4),IF(C6="Square",C14*(C15^2-(C15-2*C16)^2),""))))</f>
        <v>173.41591447815662</v>
      </c>
      <c r="D30" s="74"/>
      <c r="E30" s="37">
        <f>IF(E26="no tubes","",IF(E14=0,"",IF(E6="Round",E14*((E15^2-(E15-2*E16)^2)*PI()/4),IF(E6="Square",E14*(E15^2-(E15-2*E16)^2),""))))</f>
        <v>175.92918860102841</v>
      </c>
      <c r="F30" s="37" t="str">
        <f>IF(F28="Tubing Only","",(F20-F21)*F24)</f>
        <v/>
      </c>
      <c r="G30" s="37">
        <f t="shared" si="0"/>
        <v>175.92918860102841</v>
      </c>
      <c r="H30" s="40">
        <f t="shared" ref="H30:H37" si="1">100*G30/C30</f>
        <v>101.4492753623188</v>
      </c>
      <c r="I30" t="str">
        <f>IF(AND(95&lt;H30,H30&lt;100),"Provided your actual tube measures &gt;= your nominal OD and wall this is OK","")</f>
        <v/>
      </c>
      <c r="O30" s="43"/>
    </row>
    <row r="31" spans="2:16">
      <c r="B31" s="42" t="s">
        <v>339</v>
      </c>
      <c r="C31" s="36">
        <f>C$30*C9/1000000</f>
        <v>52891.853915837768</v>
      </c>
      <c r="D31" s="43"/>
      <c r="E31" s="36">
        <f>IF(F2="Composite only","",E$30*E9/1000000)</f>
        <v>53658.402523313671</v>
      </c>
      <c r="F31" s="36" t="str">
        <f>IF(F28="Tubing Only","",F30*F9/1000000)</f>
        <v/>
      </c>
      <c r="G31" s="36">
        <f t="shared" si="0"/>
        <v>53658.402523313671</v>
      </c>
      <c r="H31" s="40">
        <f t="shared" si="1"/>
        <v>101.44927536231882</v>
      </c>
      <c r="I31" t="str">
        <f>IF(AND(95&lt;H31,H31&lt;100),"Provided your actual tube measures &gt;= your nominal OD and wall this is OK","")</f>
        <v/>
      </c>
    </row>
    <row r="32" spans="2:16">
      <c r="B32" s="42" t="s">
        <v>340</v>
      </c>
      <c r="C32" s="36">
        <f>C$30*C10/1000000</f>
        <v>63296.808784527166</v>
      </c>
      <c r="D32" s="43"/>
      <c r="E32" s="36">
        <f>IF(F2="Composite only","",E$30*E10/1000000)</f>
        <v>64214.153839375373</v>
      </c>
      <c r="F32" s="36" t="str">
        <f>IF(F28="Tubing Only","",F30*F10/1000000)</f>
        <v/>
      </c>
      <c r="G32" s="36">
        <f t="shared" si="0"/>
        <v>64214.153839375373</v>
      </c>
      <c r="H32" s="40">
        <f t="shared" si="1"/>
        <v>101.44927536231883</v>
      </c>
      <c r="I32" t="str">
        <f>IF(AND(95&lt;H32,H32&lt;100),"Provided your actual tube measures &gt;= your nominal OD and wall this is OK","")</f>
        <v/>
      </c>
      <c r="O32" s="43"/>
    </row>
    <row r="33" spans="2:15">
      <c r="B33" s="42" t="s">
        <v>341</v>
      </c>
      <c r="C33" s="36">
        <f>C$30*C11/1000000</f>
        <v>31214.864606068193</v>
      </c>
      <c r="D33" s="43"/>
      <c r="E33" s="36">
        <f>IF(F2="Composite only","",E$30*E11/1000000)</f>
        <v>31667.253948185116</v>
      </c>
      <c r="F33" s="36" t="str">
        <f>IF(F28="Tubing Only","",F30*F9/1000000)</f>
        <v/>
      </c>
      <c r="G33" s="36">
        <f t="shared" si="0"/>
        <v>31667.253948185116</v>
      </c>
      <c r="H33" s="40">
        <f t="shared" si="1"/>
        <v>101.44927536231883</v>
      </c>
      <c r="I33" t="str">
        <f>IF(AND(95&lt;H33,H33&lt;100),"Provided your actual tube measures &gt;= your nominal OD and wall this is OK","")</f>
        <v/>
      </c>
      <c r="O33" s="43"/>
    </row>
    <row r="34" spans="2:15">
      <c r="B34" s="42" t="s">
        <v>342</v>
      </c>
      <c r="C34" s="36">
        <f>IF(C14=0,"",C$30*C12/1000000)</f>
        <v>52024.774343446981</v>
      </c>
      <c r="D34" s="43"/>
      <c r="E34" s="36">
        <f>IF(F2="Composite only","",E$30*E12/1000000)</f>
        <v>52778.756580308524</v>
      </c>
      <c r="F34" s="36" t="str">
        <f>IF(F28="tubing only","",F30*F10/1000000)</f>
        <v/>
      </c>
      <c r="G34" s="36">
        <f t="shared" si="0"/>
        <v>52778.756580308524</v>
      </c>
      <c r="H34" s="40">
        <f t="shared" si="1"/>
        <v>101.44927536231883</v>
      </c>
      <c r="I34" t="str">
        <f>IF(AND(95&lt;H34,H34&lt;100),"Provided your actual tube measures &gt;= your nominal OD and wall this is OK","")</f>
        <v/>
      </c>
      <c r="O34" s="43"/>
    </row>
    <row r="35" spans="2:15">
      <c r="B35" s="42" t="s">
        <v>343</v>
      </c>
      <c r="C35" s="36">
        <f>C14*4*C10*C28/(0.5*C26*1)</f>
        <v>1332.7948959118107</v>
      </c>
      <c r="E35" s="35">
        <f>IF(F2="Composite only","",E14*4*E10*E28/(0.5*E26*1))</f>
        <v>1686.9104746666669</v>
      </c>
      <c r="F35" s="36" t="str">
        <f>IF(F28="tubing only","",4*F10*(F28*2/(F20/1000))/1)</f>
        <v/>
      </c>
      <c r="G35" s="36">
        <f t="shared" si="0"/>
        <v>1686.9104746666669</v>
      </c>
      <c r="H35" s="40">
        <f t="shared" si="1"/>
        <v>126.5693978751767</v>
      </c>
    </row>
    <row r="36" spans="2:15">
      <c r="B36" s="42" t="s">
        <v>344</v>
      </c>
      <c r="C36" s="36">
        <f>IF(C14=0,"",C35*1^3/(48*C29))</f>
        <v>1.1975065616797901E-2</v>
      </c>
      <c r="E36" s="35">
        <f>IF($F$2="tubing only",$C$35*1^3/(48*E29),"")</f>
        <v>8.0105373487577985E-3</v>
      </c>
      <c r="F36" s="36" t="str">
        <f>IF(NOT($F$2="tubing only"),$C$35*1^3/(48*F29),"")</f>
        <v/>
      </c>
      <c r="G36" s="36">
        <f>$C$35*1^3/(48*G29)</f>
        <v>8.0105373487577985E-3</v>
      </c>
      <c r="H36" s="40">
        <f>100*G36/C36</f>
        <v>66.893473531544572</v>
      </c>
    </row>
    <row r="37" spans="2:15">
      <c r="B37" s="42" t="s">
        <v>345</v>
      </c>
      <c r="C37" s="36">
        <f>0.5*C35*(C35*1^3/(48*C29))</f>
        <v>7.9801531661386313</v>
      </c>
      <c r="D37" s="51"/>
      <c r="E37" s="36">
        <f>IF(E26="no tubes","",0.5*E35*(E35*1^3/(48*E29)))</f>
        <v>8.5516989340740768</v>
      </c>
      <c r="F37" s="36" t="str">
        <f>IF(F28="tubing only","",0.5*F35*(F35*1^3/(48*F29)))</f>
        <v/>
      </c>
      <c r="G37" s="36">
        <f>IF($F$2="Tubing only",E37,IF($F$2="Composite only",F37,IF($F$2="Tubes + Composite",E37+F37,"No Type Selected")))</f>
        <v>8.5516989340740768</v>
      </c>
      <c r="H37" s="40">
        <f t="shared" si="1"/>
        <v>107.16209020098295</v>
      </c>
      <c r="J37" s="162" t="s">
        <v>219</v>
      </c>
      <c r="K37" s="162"/>
      <c r="L37" s="162"/>
    </row>
    <row r="38" spans="2:15" ht="13.15" thickBot="1"/>
    <row r="39" spans="2:15">
      <c r="B39" s="800" t="s">
        <v>449</v>
      </c>
      <c r="C39" s="801"/>
      <c r="D39" s="801"/>
      <c r="E39" s="1000">
        <f>IF(E18&lt;50,"",2*13000*MAX(E18,E17-E18)^3*MIN(E18,E17-E18)^2/(3*E8*E28*(3*MAX(E18,E17-E18)+MIN(E18,E17-E18))^2*1000000))</f>
        <v>0.43791081494642919</v>
      </c>
      <c r="F39" s="801"/>
      <c r="G39" s="801"/>
      <c r="H39" s="802" t="str">
        <f>IF(OR(E39&lt;=25,E18&lt;50),"PASS","FAIL")</f>
        <v>PASS</v>
      </c>
    </row>
    <row r="40" spans="2:15">
      <c r="B40" s="998" t="s">
        <v>450</v>
      </c>
      <c r="E40" s="1002">
        <f>ABS(-13000*E18*(E17-E18)^2/E17^2)</f>
        <v>643652.34375</v>
      </c>
      <c r="H40" s="999"/>
    </row>
    <row r="41" spans="2:15">
      <c r="B41" s="998" t="s">
        <v>451</v>
      </c>
      <c r="E41" s="1002">
        <f>ABS(-13000*E18^2*(E17-E18)/E17^2)</f>
        <v>148535.15625</v>
      </c>
      <c r="H41" s="999"/>
    </row>
    <row r="42" spans="2:15">
      <c r="B42" s="998" t="s">
        <v>452</v>
      </c>
      <c r="E42" s="1002">
        <f>2*13000*E18^2*(E17-E18)^2/E17^3</f>
        <v>241369.62890625</v>
      </c>
      <c r="H42" s="999"/>
    </row>
    <row r="43" spans="2:15" ht="13.15" thickBot="1">
      <c r="B43" s="803" t="s">
        <v>453</v>
      </c>
      <c r="C43" s="804"/>
      <c r="D43" s="804"/>
      <c r="E43" s="1001">
        <f>IF(E18&lt;50,"",MAX(E40:E42)*E15/2/E28/1000000000000)</f>
        <v>557.07308478281334</v>
      </c>
      <c r="F43" s="804"/>
      <c r="G43" s="804"/>
      <c r="H43" s="805" t="str">
        <f>IF(OR(E43&lt;=E10/1000000,E18&lt;50),"PASS","FAIL")</f>
        <v>FAIL</v>
      </c>
    </row>
    <row r="46" spans="2:15" s="123" customFormat="1" ht="13.15">
      <c r="B46" s="3" t="s">
        <v>376</v>
      </c>
      <c r="C46"/>
      <c r="D46"/>
      <c r="E46" s="43"/>
      <c r="F46"/>
      <c r="G46"/>
      <c r="H46"/>
    </row>
    <row r="47" spans="2:15" s="123" customFormat="1">
      <c r="B47" s="19"/>
      <c r="C47" s="20"/>
      <c r="D47" s="20"/>
      <c r="E47" s="20"/>
      <c r="F47" s="20"/>
      <c r="G47" s="20"/>
      <c r="H47" s="20"/>
      <c r="I47" s="20"/>
      <c r="J47" s="20"/>
      <c r="K47" s="20"/>
      <c r="L47" s="21"/>
    </row>
    <row r="48" spans="2:15" s="123" customFormat="1">
      <c r="B48" s="686" t="s">
        <v>304</v>
      </c>
      <c r="C48" s="26"/>
      <c r="D48" s="26"/>
      <c r="E48" s="26"/>
      <c r="F48" s="26"/>
      <c r="G48" s="26"/>
      <c r="H48" s="26"/>
      <c r="I48" s="26"/>
      <c r="J48" s="26"/>
      <c r="K48" s="26"/>
      <c r="L48" s="27"/>
    </row>
    <row r="49" spans="2:12" s="123" customFormat="1">
      <c r="B49" s="25"/>
      <c r="C49" s="26"/>
      <c r="D49" s="26"/>
      <c r="E49" s="26"/>
      <c r="F49" s="997"/>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25"/>
      <c r="C189" s="26"/>
      <c r="D189" s="26"/>
      <c r="E189" s="26"/>
      <c r="F189" s="26"/>
      <c r="G189" s="26"/>
      <c r="H189" s="26"/>
      <c r="I189" s="26"/>
      <c r="J189" s="26"/>
      <c r="K189" s="26"/>
      <c r="L189" s="27"/>
    </row>
    <row r="190" spans="2:12" s="123" customFormat="1">
      <c r="B190" s="25"/>
      <c r="C190" s="26"/>
      <c r="D190" s="26"/>
      <c r="E190" s="26"/>
      <c r="F190" s="26"/>
      <c r="G190" s="26"/>
      <c r="H190" s="26"/>
      <c r="I190" s="26"/>
      <c r="J190" s="26"/>
      <c r="K190" s="26"/>
      <c r="L190" s="27"/>
    </row>
    <row r="191" spans="2:12" s="123" customFormat="1">
      <c r="B191" s="25"/>
      <c r="C191" s="26"/>
      <c r="D191" s="26"/>
      <c r="E191" s="26"/>
      <c r="F191" s="26"/>
      <c r="G191" s="26"/>
      <c r="H191" s="26"/>
      <c r="I191" s="26"/>
      <c r="J191" s="26"/>
      <c r="K191" s="26"/>
      <c r="L191" s="27"/>
    </row>
    <row r="192" spans="2:12" s="123" customFormat="1">
      <c r="B192" s="25"/>
      <c r="C192" s="26"/>
      <c r="D192" s="26"/>
      <c r="E192" s="26"/>
      <c r="F192" s="26"/>
      <c r="G192" s="26"/>
      <c r="H192" s="26"/>
      <c r="I192" s="26"/>
      <c r="J192" s="26"/>
      <c r="K192" s="26"/>
      <c r="L192" s="27"/>
    </row>
    <row r="193" spans="2:12" s="123" customFormat="1">
      <c r="B193" s="25"/>
      <c r="C193" s="26"/>
      <c r="D193" s="26"/>
      <c r="E193" s="26"/>
      <c r="F193" s="26"/>
      <c r="G193" s="26"/>
      <c r="H193" s="26"/>
      <c r="I193" s="26"/>
      <c r="J193" s="26"/>
      <c r="K193" s="26"/>
      <c r="L193" s="27"/>
    </row>
    <row r="194" spans="2:12" s="123" customFormat="1">
      <c r="B194" s="25"/>
      <c r="C194" s="26"/>
      <c r="D194" s="26"/>
      <c r="E194" s="26"/>
      <c r="F194" s="26"/>
      <c r="G194" s="26"/>
      <c r="H194" s="26"/>
      <c r="I194" s="26"/>
      <c r="J194" s="26"/>
      <c r="K194" s="26"/>
      <c r="L194" s="27"/>
    </row>
    <row r="195" spans="2:12" s="123" customFormat="1">
      <c r="B195" s="25"/>
      <c r="C195" s="26"/>
      <c r="D195" s="26"/>
      <c r="E195" s="26"/>
      <c r="F195" s="26"/>
      <c r="G195" s="26"/>
      <c r="H195" s="26"/>
      <c r="I195" s="26"/>
      <c r="J195" s="26"/>
      <c r="K195" s="26"/>
      <c r="L195" s="27"/>
    </row>
    <row r="196" spans="2:12" s="123" customFormat="1">
      <c r="B196" s="25"/>
      <c r="C196" s="26"/>
      <c r="D196" s="26"/>
      <c r="E196" s="26"/>
      <c r="F196" s="26"/>
      <c r="G196" s="26"/>
      <c r="H196" s="26"/>
      <c r="I196" s="26"/>
      <c r="J196" s="26"/>
      <c r="K196" s="26"/>
      <c r="L196" s="27"/>
    </row>
    <row r="197" spans="2:12" s="123" customFormat="1">
      <c r="B197" s="25"/>
      <c r="C197" s="26"/>
      <c r="D197" s="26"/>
      <c r="E197" s="26"/>
      <c r="F197" s="26"/>
      <c r="G197" s="26"/>
      <c r="H197" s="26"/>
      <c r="I197" s="26"/>
      <c r="J197" s="26"/>
      <c r="K197" s="26"/>
      <c r="L197" s="27"/>
    </row>
    <row r="198" spans="2:12" s="123" customFormat="1">
      <c r="B198" s="33"/>
      <c r="C198" s="31"/>
      <c r="D198" s="31"/>
      <c r="E198" s="31"/>
      <c r="F198" s="31"/>
      <c r="G198" s="31"/>
      <c r="H198" s="31"/>
      <c r="I198" s="31"/>
      <c r="J198" s="31"/>
      <c r="K198" s="31"/>
      <c r="L198" s="34"/>
    </row>
    <row r="199" spans="2:12" s="123" customFormat="1"/>
  </sheetData>
  <sheetProtection algorithmName="SHA-512" hashValue="4KYyLgL9Slnp1LuxFEShTUL+A+tnZKrxxw8H6uTHtum3JawCt8rKcTSzxKABN5BczwltlqfqRI1EOnY0rYSvkw==" saltValue="a3tcrW26X2VeFgWzXuCrBg==" spinCount="100000" sheet="1" scenarios="1" insertHyperlinks="0"/>
  <protectedRanges>
    <protectedRange sqref="F2 F5 E5:E6 F21:F24 B47:L198 E14:E18" name="Bereich1"/>
  </protectedRanges>
  <mergeCells count="2">
    <mergeCell ref="C2:E2"/>
    <mergeCell ref="F2:G2"/>
  </mergeCells>
  <phoneticPr fontId="2" type="noConversion"/>
  <conditionalFormatting sqref="F22">
    <cfRule type="expression" dxfId="319" priority="4">
      <formula>F22&lt;0.4*F23</formula>
    </cfRule>
  </conditionalFormatting>
  <conditionalFormatting sqref="F23">
    <cfRule type="expression" dxfId="318" priority="2">
      <formula>F23&lt;0.4*F22</formula>
    </cfRule>
  </conditionalFormatting>
  <conditionalFormatting sqref="H29:H30">
    <cfRule type="cellIs" dxfId="317" priority="10" stopIfTrue="1" operator="greaterThanOrEqual">
      <formula>100</formula>
    </cfRule>
    <cfRule type="cellIs" dxfId="316" priority="11" stopIfTrue="1" operator="lessThan">
      <formula>100</formula>
    </cfRule>
  </conditionalFormatting>
  <conditionalFormatting sqref="H31:H35 H37">
    <cfRule type="cellIs" dxfId="315" priority="12" stopIfTrue="1" operator="greaterThan">
      <formula>99.9</formula>
    </cfRule>
    <cfRule type="cellIs" dxfId="314" priority="13" stopIfTrue="1" operator="lessThan">
      <formula>99.9</formula>
    </cfRule>
  </conditionalFormatting>
  <conditionalFormatting sqref="H36">
    <cfRule type="cellIs" dxfId="313" priority="8" stopIfTrue="1" operator="greaterThanOrEqual">
      <formula>100.01</formula>
    </cfRule>
    <cfRule type="cellIs" dxfId="312" priority="9" stopIfTrue="1" operator="lessThan">
      <formula>100.01</formula>
    </cfRule>
  </conditionalFormatting>
  <conditionalFormatting sqref="H39:H43">
    <cfRule type="cellIs" dxfId="311" priority="5" operator="equal">
      <formula>"FAIL"</formula>
    </cfRule>
    <cfRule type="cellIs" dxfId="310" priority="6" operator="equal">
      <formula>"PASS"</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7" location="'Cover Sheet'!A1" display="BACK to COVER SHEET" xr:uid="{00000000-0004-0000-0F00-000000000000}"/>
    <hyperlink ref="J37:L37" location="'Cover Sheet'!A1" display="BACK to COVER SHEET" xr:uid="{00000000-0004-0000-0F00-000001000000}"/>
    <hyperlink ref="B48" location="'T4.5 Guidance Notes'!T1" display="Link to GUIDANCE NOTES" xr:uid="{3BC44108-A9EC-4312-BCFD-6370CEA325FB}"/>
    <hyperlink ref="B14" location="'T1.1 Guidance Notes'!A1" display="Number of tubes" xr:uid="{4CFBA9FF-0983-4146-B006-9740A757B7BC}"/>
  </hyperlinks>
  <pageMargins left="0.75" right="0.75" top="1" bottom="1" header="0.5" footer="0.5"/>
  <pageSetup paperSize="9" orientation="portrait" horizontalDpi="4294967294" verticalDpi="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V190"/>
  <sheetViews>
    <sheetView showGridLines="0" view="pageBreakPreview" topLeftCell="A17" zoomScaleNormal="100" zoomScaleSheetLayoutView="100" workbookViewId="0"/>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22" ht="15">
      <c r="B1" s="1" t="s">
        <v>454</v>
      </c>
    </row>
    <row r="2" spans="2:22" ht="13.15">
      <c r="C2" s="1223" t="s">
        <v>351</v>
      </c>
      <c r="D2" s="1266"/>
      <c r="E2" s="1224"/>
      <c r="F2" s="1246" t="s">
        <v>207</v>
      </c>
      <c r="G2" s="1247"/>
    </row>
    <row r="4" spans="2:22" ht="25.5" customHeight="1">
      <c r="B4" s="41" t="s">
        <v>326</v>
      </c>
      <c r="C4" s="52" t="s">
        <v>327</v>
      </c>
      <c r="D4" s="3"/>
      <c r="E4" s="52" t="s">
        <v>438</v>
      </c>
      <c r="F4" s="52" t="s">
        <v>431</v>
      </c>
      <c r="G4" s="52" t="s">
        <v>432</v>
      </c>
      <c r="H4" s="52" t="s">
        <v>433</v>
      </c>
      <c r="I4" s="52" t="s">
        <v>439</v>
      </c>
      <c r="J4" s="83" t="s">
        <v>440</v>
      </c>
      <c r="K4" s="52" t="s">
        <v>353</v>
      </c>
      <c r="S4" s="3" t="s">
        <v>441</v>
      </c>
      <c r="T4" s="142" t="s">
        <v>354</v>
      </c>
      <c r="U4" s="142" t="s">
        <v>355</v>
      </c>
    </row>
    <row r="5" spans="2:22">
      <c r="B5" s="362" t="s">
        <v>329</v>
      </c>
      <c r="C5" s="35" t="s">
        <v>175</v>
      </c>
      <c r="E5" s="17" t="s">
        <v>175</v>
      </c>
      <c r="F5" s="17" t="s">
        <v>175</v>
      </c>
      <c r="G5" s="17" t="s">
        <v>175</v>
      </c>
      <c r="H5" s="67"/>
      <c r="I5" s="17" t="s">
        <v>178</v>
      </c>
      <c r="J5" s="38" t="s">
        <v>178</v>
      </c>
      <c r="K5" s="69"/>
      <c r="S5" s="351" t="s">
        <v>356</v>
      </c>
      <c r="T5">
        <f>I22/1000</f>
        <v>0</v>
      </c>
      <c r="U5" s="140">
        <f>T5</f>
        <v>0</v>
      </c>
    </row>
    <row r="6" spans="2:22">
      <c r="B6" s="362" t="s">
        <v>357</v>
      </c>
      <c r="C6" s="589" t="s">
        <v>214</v>
      </c>
      <c r="E6" s="17" t="s">
        <v>214</v>
      </c>
      <c r="F6" s="17" t="s">
        <v>216</v>
      </c>
      <c r="G6" s="17" t="s">
        <v>214</v>
      </c>
      <c r="H6" s="69"/>
      <c r="I6" s="70" t="s">
        <v>358</v>
      </c>
      <c r="J6" s="589" t="s">
        <v>358</v>
      </c>
      <c r="K6" s="69"/>
      <c r="S6" s="351" t="s">
        <v>359</v>
      </c>
      <c r="T6">
        <f>I21/1000</f>
        <v>0</v>
      </c>
      <c r="U6" s="140">
        <f>I20/1000</f>
        <v>0</v>
      </c>
    </row>
    <row r="7" spans="2:22">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row>
    <row r="8" spans="2:22" ht="15">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S8" s="351" t="s">
        <v>360</v>
      </c>
      <c r="T8" s="43">
        <f>T5*T6</f>
        <v>0</v>
      </c>
      <c r="U8" s="351" t="s">
        <v>361</v>
      </c>
      <c r="V8" s="43">
        <f>(T5*T6^3)/12</f>
        <v>0</v>
      </c>
    </row>
    <row r="9" spans="2:22" ht="15">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S9" s="351" t="s">
        <v>362</v>
      </c>
      <c r="T9" s="43">
        <f>U5*U6</f>
        <v>0</v>
      </c>
      <c r="U9" s="351" t="s">
        <v>363</v>
      </c>
      <c r="V9" s="43">
        <f>(U5*U6^3)/12</f>
        <v>0</v>
      </c>
    </row>
    <row r="10" spans="2:22" ht="15">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S10" s="351" t="s">
        <v>364</v>
      </c>
      <c r="T10">
        <f>T6/2</f>
        <v>0</v>
      </c>
      <c r="U10" s="351" t="s">
        <v>365</v>
      </c>
      <c r="V10" s="43" t="e">
        <f>V8+(T8*($T$12-T10)^2)</f>
        <v>#DIV/0!</v>
      </c>
    </row>
    <row r="11" spans="2:22" ht="15">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S11" s="351" t="s">
        <v>366</v>
      </c>
      <c r="T11">
        <f>(I18-0.5*I20)*0.001</f>
        <v>0</v>
      </c>
      <c r="U11" s="351" t="s">
        <v>367</v>
      </c>
      <c r="V11" s="43" t="e">
        <f>V9+(T9*($T$12-T11)^2)</f>
        <v>#DIV/0!</v>
      </c>
    </row>
    <row r="12" spans="2:22" ht="15">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S12" s="351" t="s">
        <v>368</v>
      </c>
      <c r="T12" s="141" t="e">
        <f>(T8*T10+T9*T11)/(T8+T9)</f>
        <v>#DIV/0!</v>
      </c>
      <c r="U12" s="351" t="s">
        <v>369</v>
      </c>
      <c r="V12" s="144" t="e">
        <f>SUM(V10:V11)</f>
        <v>#DIV/0!</v>
      </c>
    </row>
    <row r="13" spans="2:22">
      <c r="B13" s="362" t="s">
        <v>442</v>
      </c>
      <c r="C13" s="176" t="s">
        <v>111</v>
      </c>
      <c r="E13" s="17" t="s">
        <v>443</v>
      </c>
      <c r="F13" s="176" t="s">
        <v>111</v>
      </c>
      <c r="G13" s="176" t="s">
        <v>111</v>
      </c>
      <c r="H13" s="69"/>
      <c r="I13" s="67"/>
      <c r="K13" s="69"/>
      <c r="V13" s="43"/>
    </row>
    <row r="14" spans="2:22" ht="13.15">
      <c r="B14" s="983" t="s">
        <v>370</v>
      </c>
      <c r="C14" s="35">
        <v>3</v>
      </c>
      <c r="E14" s="17">
        <v>3</v>
      </c>
      <c r="F14" s="17">
        <v>0</v>
      </c>
      <c r="G14" s="17">
        <v>0</v>
      </c>
      <c r="H14" s="69"/>
      <c r="I14" s="69"/>
      <c r="K14" s="69"/>
      <c r="S14" s="3" t="s">
        <v>444</v>
      </c>
      <c r="T14" s="142" t="s">
        <v>354</v>
      </c>
      <c r="U14" s="142" t="s">
        <v>355</v>
      </c>
    </row>
    <row r="15" spans="2:22">
      <c r="B15" s="42" t="s">
        <v>332</v>
      </c>
      <c r="C15" s="35">
        <v>25.4</v>
      </c>
      <c r="E15" s="17">
        <v>25.4</v>
      </c>
      <c r="F15" s="17">
        <v>25.4</v>
      </c>
      <c r="G15" s="17">
        <v>25.4</v>
      </c>
      <c r="H15" s="69"/>
      <c r="I15" s="69"/>
      <c r="K15" s="69"/>
      <c r="S15" s="351" t="s">
        <v>356</v>
      </c>
      <c r="T15">
        <f>J21/1000</f>
        <v>0</v>
      </c>
      <c r="U15" s="140">
        <f>J20/1000</f>
        <v>0</v>
      </c>
    </row>
    <row r="16" spans="2:22">
      <c r="B16" s="42" t="s">
        <v>333</v>
      </c>
      <c r="C16" s="35">
        <v>1.6</v>
      </c>
      <c r="E16" s="17">
        <v>1.6</v>
      </c>
      <c r="F16" s="17">
        <v>1.6</v>
      </c>
      <c r="G16" s="17">
        <v>1.6</v>
      </c>
      <c r="H16" s="69"/>
      <c r="I16" s="69"/>
      <c r="K16" s="69"/>
      <c r="S16" s="351" t="s">
        <v>359</v>
      </c>
      <c r="T16">
        <f>J22/1000</f>
        <v>0</v>
      </c>
      <c r="U16" s="140">
        <f>J22/1000</f>
        <v>0</v>
      </c>
    </row>
    <row r="17" spans="2:22">
      <c r="E17" s="39"/>
      <c r="F17" s="84" t="s">
        <v>434</v>
      </c>
      <c r="G17" s="49" t="str">
        <f>IF(AND(L27&gt;=100,F2="tubing only",NOT(OR(E18="NO",F18="NO",G18="NO"))),"YES","NO")</f>
        <v>YES</v>
      </c>
      <c r="H17" s="69"/>
      <c r="I17" s="71"/>
      <c r="K17" s="69"/>
    </row>
    <row r="18" spans="2:22" ht="12.75" customHeight="1">
      <c r="B18" s="42" t="s">
        <v>371</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S18" s="351" t="s">
        <v>360</v>
      </c>
      <c r="T18" s="43">
        <f>T15*T16</f>
        <v>0</v>
      </c>
      <c r="U18" s="351" t="s">
        <v>361</v>
      </c>
      <c r="V18" s="43">
        <f>(T15^3*T16)/12</f>
        <v>0</v>
      </c>
    </row>
    <row r="19" spans="2:22" ht="12.75" customHeight="1">
      <c r="B19" s="42" t="s">
        <v>372</v>
      </c>
      <c r="E19" s="4"/>
      <c r="G19" s="15"/>
      <c r="H19" s="69"/>
      <c r="I19" s="38"/>
      <c r="J19" s="17"/>
      <c r="K19" s="69"/>
      <c r="S19" s="351" t="s">
        <v>362</v>
      </c>
      <c r="T19" s="43">
        <f>U15*U16</f>
        <v>0</v>
      </c>
      <c r="U19" s="351" t="s">
        <v>363</v>
      </c>
      <c r="V19" s="43">
        <f>(U15^3*U16)/12</f>
        <v>0</v>
      </c>
    </row>
    <row r="20" spans="2:22" ht="12.75" customHeight="1">
      <c r="B20" s="42" t="s">
        <v>373</v>
      </c>
      <c r="E20" s="4"/>
      <c r="G20" s="15"/>
      <c r="H20" s="69"/>
      <c r="I20" s="796"/>
      <c r="J20" s="796"/>
      <c r="K20" s="69"/>
      <c r="M20" s="361" t="str">
        <f>IF(OR(I20&lt;0.4*I21,J20&lt;0.4*J21),"Asymmetrical lay-up: skin too thin in comparison, see T3.4.4.","")</f>
        <v/>
      </c>
      <c r="S20" s="351" t="s">
        <v>380</v>
      </c>
      <c r="T20">
        <f>J21/2000</f>
        <v>0</v>
      </c>
      <c r="U20" s="351" t="s">
        <v>365</v>
      </c>
      <c r="V20" s="43" t="e">
        <f>V18+(T18*($T$22-T20)^2)</f>
        <v>#DIV/0!</v>
      </c>
    </row>
    <row r="21" spans="2:22" ht="12.75" customHeight="1">
      <c r="B21" s="362" t="s">
        <v>374</v>
      </c>
      <c r="E21" s="4"/>
      <c r="G21" s="15"/>
      <c r="H21" s="69"/>
      <c r="I21" s="796"/>
      <c r="J21" s="796"/>
      <c r="K21" s="69"/>
      <c r="M21" s="361" t="str">
        <f>IF(OR(I21&lt;0.4*I20,J21&lt;0.4*J20),"Asymmetrical lay-up: skin too thin in comparison, see T3.4.4.","")</f>
        <v/>
      </c>
      <c r="S21" s="351" t="s">
        <v>381</v>
      </c>
      <c r="T21">
        <f>(J18-0.5*J20)*0.001</f>
        <v>0</v>
      </c>
      <c r="U21" s="351" t="s">
        <v>367</v>
      </c>
      <c r="V21" s="43" t="e">
        <f>V19+(T19*($T$22-T21)^2)</f>
        <v>#DIV/0!</v>
      </c>
    </row>
    <row r="22" spans="2:22" ht="12.75" customHeight="1">
      <c r="B22" s="362" t="s">
        <v>445</v>
      </c>
      <c r="E22" s="4"/>
      <c r="G22" s="15"/>
      <c r="H22" s="69"/>
      <c r="I22" s="38"/>
      <c r="J22" s="17"/>
      <c r="K22" s="69"/>
      <c r="S22" s="351" t="s">
        <v>368</v>
      </c>
      <c r="T22" s="141" t="e">
        <f>(T18*T20+T19*T21)/(T18+T19)</f>
        <v>#DIV/0!</v>
      </c>
      <c r="U22" s="351" t="s">
        <v>369</v>
      </c>
      <c r="V22" s="144" t="e">
        <f>SUM(V20:V21)</f>
        <v>#DIV/0!</v>
      </c>
    </row>
    <row r="23" spans="2:22">
      <c r="E23" s="79"/>
      <c r="F23" s="80"/>
      <c r="G23" s="81"/>
      <c r="H23" s="69"/>
      <c r="I23" s="67"/>
      <c r="K23" s="69"/>
      <c r="V23" s="43"/>
    </row>
    <row r="24" spans="2:22">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2">
      <c r="B25" s="42" t="s">
        <v>335</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2">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Only",V12)</f>
        <v>Tubing Only</v>
      </c>
      <c r="J26" s="73" t="str">
        <f>IF($F$2="Tubing only","Tubing Only",V22)</f>
        <v>Tubing Only</v>
      </c>
      <c r="K26" s="36">
        <f>IF($F$2="Tubing only",H26,IF($F$2="Composite only",I26+J26,IF($F$2="Tubes + Composite",H26+I26+J26,"No Type Selected")))</f>
        <v>8.5099184800000022E-9</v>
      </c>
      <c r="P26" s="43"/>
      <c r="S26" s="43"/>
      <c r="T26" s="44"/>
    </row>
    <row r="27" spans="2:22">
      <c r="B27" s="42" t="s">
        <v>337</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15"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2">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1">
        <f>IF(AND($F$2="tubing only",AND(E5="steel",F5="steel",G5="steel")),100*K28/C28,"NA")</f>
        <v>100</v>
      </c>
      <c r="M28" t="str">
        <f>IF(AND(95&lt;L28,L28&lt;100),"For tubes only, provided your actual tube measures &gt;= your nominal OD and wall this is OK","")</f>
        <v/>
      </c>
      <c r="S28" s="43"/>
    </row>
    <row r="29" spans="2:22">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2">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2">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2">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345</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2" t="s">
        <v>219</v>
      </c>
      <c r="O35" s="162"/>
      <c r="P35" s="162"/>
    </row>
    <row r="36" spans="2:16">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6" ht="13.15">
      <c r="B37" s="3" t="s">
        <v>376</v>
      </c>
      <c r="E37" s="43"/>
    </row>
    <row r="38" spans="2:16">
      <c r="B38" s="984" t="s">
        <v>455</v>
      </c>
      <c r="C38" s="20"/>
      <c r="D38" s="20"/>
      <c r="E38" s="20"/>
      <c r="F38" s="20"/>
      <c r="G38" s="20"/>
      <c r="H38" s="20"/>
      <c r="I38" s="20"/>
      <c r="J38" s="20"/>
      <c r="K38" s="20"/>
      <c r="L38" s="20"/>
      <c r="M38" s="20"/>
      <c r="N38" s="20"/>
      <c r="O38" s="20"/>
      <c r="P38" s="21"/>
    </row>
    <row r="39" spans="2:16">
      <c r="B39" s="985" t="s">
        <v>378</v>
      </c>
      <c r="C39" s="26"/>
      <c r="D39" s="26"/>
      <c r="E39" s="26"/>
      <c r="F39" s="26"/>
      <c r="G39" s="26"/>
      <c r="H39" s="26"/>
      <c r="I39" s="26"/>
      <c r="J39" s="26"/>
      <c r="K39" s="26"/>
      <c r="L39" s="26"/>
      <c r="M39" s="26"/>
      <c r="N39" s="26"/>
      <c r="O39" s="26"/>
      <c r="P39" s="27"/>
    </row>
    <row r="40" spans="2:16">
      <c r="B40" s="985"/>
      <c r="C40" s="26"/>
      <c r="D40" s="26"/>
      <c r="E40" s="26"/>
      <c r="F40" s="26"/>
      <c r="G40" s="26"/>
      <c r="H40" s="374"/>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BdAmTes05c5z5KWoZoJumtGMOLCjP6hKWMS7AbnhUhbRSvM1cNUPMmbpQj3Bcq1H6Ze7kYthW2g5Yo/VQaJWgQ==" saltValue="ikOLrLuy3yqx+N1RULL3vg==" spinCount="100000" sheet="1" scenarios="1" insertHyperlinks="0"/>
  <protectedRanges>
    <protectedRange sqref="F2 E5:G6 I5:J5 E13 E14:G16 I19:J22 B41:P190 B38:P38 C39:P40" name="Bereich1"/>
    <protectedRange sqref="B39:B40" name="Bereich1_1"/>
  </protectedRanges>
  <mergeCells count="2">
    <mergeCell ref="C2:E2"/>
    <mergeCell ref="F2:G2"/>
  </mergeCells>
  <conditionalFormatting sqref="E16:G16">
    <cfRule type="cellIs" dxfId="309" priority="14" stopIfTrue="1" operator="lessThan">
      <formula>1.2</formula>
    </cfRule>
  </conditionalFormatting>
  <conditionalFormatting sqref="E27:G33">
    <cfRule type="cellIs" dxfId="308" priority="24" stopIfTrue="1" operator="lessThan">
      <formula>0.95*$C27*(E$14/$C$14)</formula>
    </cfRule>
  </conditionalFormatting>
  <conditionalFormatting sqref="E35:G35">
    <cfRule type="cellIs" dxfId="307" priority="22" stopIfTrue="1" operator="lessThan">
      <formula>0.95*$C35*(E$14/$C$14)</formula>
    </cfRule>
  </conditionalFormatting>
  <conditionalFormatting sqref="I22">
    <cfRule type="cellIs" dxfId="306" priority="16" stopIfTrue="1" operator="greaterThan">
      <formula>320</formula>
    </cfRule>
    <cfRule type="cellIs" dxfId="305" priority="17" stopIfTrue="1" operator="greaterThan">
      <formula>320</formula>
    </cfRule>
  </conditionalFormatting>
  <conditionalFormatting sqref="I27">
    <cfRule type="cellIs" dxfId="304" priority="13" stopIfTrue="1" operator="lessThan">
      <formula>$C$27*(2/3)</formula>
    </cfRule>
  </conditionalFormatting>
  <conditionalFormatting sqref="I20:J20">
    <cfRule type="expression" dxfId="303" priority="3">
      <formula>I20&lt;0.4*I21</formula>
    </cfRule>
  </conditionalFormatting>
  <conditionalFormatting sqref="I21:J21">
    <cfRule type="expression" dxfId="302" priority="1">
      <formula>I21&lt;0.4*I20</formula>
    </cfRule>
  </conditionalFormatting>
  <conditionalFormatting sqref="J27">
    <cfRule type="cellIs" dxfId="301" priority="19" stopIfTrue="1" operator="lessThan">
      <formula>$C$27/3</formula>
    </cfRule>
  </conditionalFormatting>
  <conditionalFormatting sqref="L27">
    <cfRule type="cellIs" dxfId="300" priority="33" stopIfTrue="1" operator="lessThan">
      <formula>50</formula>
    </cfRule>
    <cfRule type="cellIs" dxfId="299" priority="34" stopIfTrue="1" operator="between">
      <formula>50</formula>
      <formula>100</formula>
    </cfRule>
  </conditionalFormatting>
  <conditionalFormatting sqref="L27:L33">
    <cfRule type="cellIs" dxfId="298" priority="28" stopIfTrue="1" operator="greaterThanOrEqual">
      <formula>100</formula>
    </cfRule>
  </conditionalFormatting>
  <conditionalFormatting sqref="L28:L33">
    <cfRule type="cellIs" dxfId="297" priority="29" stopIfTrue="1" operator="lessThan">
      <formula>100</formula>
    </cfRule>
  </conditionalFormatting>
  <conditionalFormatting sqref="L34">
    <cfRule type="cellIs" dxfId="296" priority="18" stopIfTrue="1" operator="equal">
      <formula>"NA"</formula>
    </cfRule>
    <cfRule type="cellIs" dxfId="295" priority="27" stopIfTrue="1" operator="between">
      <formula>100.1</formula>
      <formula>200</formula>
    </cfRule>
    <cfRule type="cellIs" dxfId="294" priority="30" stopIfTrue="1" operator="greaterThan">
      <formula>200</formula>
    </cfRule>
    <cfRule type="cellIs" dxfId="293" priority="31" stopIfTrue="1" operator="lessThanOrEqual">
      <formula>100</formula>
    </cfRule>
  </conditionalFormatting>
  <conditionalFormatting sqref="L35">
    <cfRule type="cellIs" dxfId="292" priority="20" stopIfTrue="1" operator="greaterThanOrEqual">
      <formula>100</formula>
    </cfRule>
    <cfRule type="cellIs" dxfId="291" priority="21" stopIfTrue="1" operator="lessThan">
      <formula>100</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N35" location="'Cover Sheet'!A1" display="BACK to COVER SHEET" xr:uid="{580B33D6-3DC2-4D58-AEB0-0511DC5DBE0B}"/>
    <hyperlink ref="N35:P35" location="'Cover Sheet'!A1" display="BACK to COVER SHEET" xr:uid="{BB3B214D-1434-4877-8947-4AD4E0394336}"/>
    <hyperlink ref="B38" location="'EV4.4 Guidance Notes'!A1" display="Link to GUIDANCE NOTES for laminated structures" xr:uid="{930D685F-6806-45E8-9DC0-5C74ACB1CBEA}"/>
    <hyperlink ref="B39" location="'T3.5 Guidance Notes'!A1" display="Link to GUIDANCE NOTES for anisotropic laminates" xr:uid="{70579E6E-0AD6-4EE4-90C5-61DCAA6D73D0}"/>
    <hyperlink ref="B14" location="'T1.1 Guidance Notes'!A1" display="Number of tubes" xr:uid="{E94F529E-A690-4944-B664-36A8E9907D00}"/>
  </hyperlinks>
  <pageMargins left="0.75" right="0.75" top="1" bottom="1" header="0.5" footer="0.5"/>
  <pageSetup paperSize="9" scale="41" fitToHeight="2" orientation="portrait" horizontalDpi="4294967294"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V190"/>
  <sheetViews>
    <sheetView showGridLines="0" tabSelected="1" view="pageBreakPreview" topLeftCell="A14" zoomScaleNormal="100" zoomScaleSheetLayoutView="100" workbookViewId="0">
      <selection activeCell="G43" sqref="G43"/>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22" ht="15">
      <c r="B1" s="1" t="s">
        <v>456</v>
      </c>
    </row>
    <row r="2" spans="2:22" ht="13.15">
      <c r="C2" s="1223" t="s">
        <v>351</v>
      </c>
      <c r="D2" s="1266"/>
      <c r="E2" s="1224"/>
      <c r="F2" s="1246" t="s">
        <v>207</v>
      </c>
      <c r="G2" s="1247"/>
    </row>
    <row r="4" spans="2:22" ht="25.5" customHeight="1">
      <c r="B4" s="41" t="s">
        <v>326</v>
      </c>
      <c r="C4" s="52" t="s">
        <v>327</v>
      </c>
      <c r="D4" s="3"/>
      <c r="E4" s="52" t="s">
        <v>438</v>
      </c>
      <c r="F4" s="52" t="s">
        <v>431</v>
      </c>
      <c r="G4" s="52" t="s">
        <v>432</v>
      </c>
      <c r="H4" s="52" t="s">
        <v>433</v>
      </c>
      <c r="I4" s="52" t="s">
        <v>439</v>
      </c>
      <c r="J4" s="83" t="s">
        <v>440</v>
      </c>
      <c r="K4" s="52" t="s">
        <v>353</v>
      </c>
      <c r="S4" s="3" t="s">
        <v>441</v>
      </c>
      <c r="T4" s="142" t="s">
        <v>354</v>
      </c>
      <c r="U4" s="142" t="s">
        <v>355</v>
      </c>
    </row>
    <row r="5" spans="2:22">
      <c r="B5" s="362" t="s">
        <v>329</v>
      </c>
      <c r="C5" s="35" t="s">
        <v>175</v>
      </c>
      <c r="E5" s="17" t="s">
        <v>175</v>
      </c>
      <c r="F5" s="17" t="s">
        <v>175</v>
      </c>
      <c r="G5" s="17" t="s">
        <v>175</v>
      </c>
      <c r="H5" s="67"/>
      <c r="I5" s="17" t="s">
        <v>178</v>
      </c>
      <c r="J5" s="38" t="s">
        <v>178</v>
      </c>
      <c r="K5" s="69"/>
      <c r="S5" s="351" t="s">
        <v>356</v>
      </c>
      <c r="T5">
        <f>I22/1000</f>
        <v>0</v>
      </c>
      <c r="U5" s="140">
        <f>T5</f>
        <v>0</v>
      </c>
    </row>
    <row r="6" spans="2:22">
      <c r="B6" s="362" t="s">
        <v>357</v>
      </c>
      <c r="C6" s="589" t="s">
        <v>214</v>
      </c>
      <c r="E6" s="17" t="s">
        <v>214</v>
      </c>
      <c r="F6" s="17" t="s">
        <v>216</v>
      </c>
      <c r="G6" s="17" t="s">
        <v>214</v>
      </c>
      <c r="H6" s="69"/>
      <c r="I6" s="70" t="s">
        <v>358</v>
      </c>
      <c r="J6" s="589" t="s">
        <v>358</v>
      </c>
      <c r="K6" s="69"/>
      <c r="S6" s="351" t="s">
        <v>359</v>
      </c>
      <c r="T6">
        <f>I21/1000</f>
        <v>0</v>
      </c>
      <c r="U6" s="140">
        <f>I20/1000</f>
        <v>0</v>
      </c>
    </row>
    <row r="7" spans="2:22">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row>
    <row r="8" spans="2:22" ht="15">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S8" s="351" t="s">
        <v>360</v>
      </c>
      <c r="T8" s="43">
        <f>T5*T6</f>
        <v>0</v>
      </c>
      <c r="U8" s="351" t="s">
        <v>361</v>
      </c>
      <c r="V8" s="43">
        <f>(T5*T6^3)/12</f>
        <v>0</v>
      </c>
    </row>
    <row r="9" spans="2:22" ht="15">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S9" s="351" t="s">
        <v>362</v>
      </c>
      <c r="T9" s="43">
        <f>U5*U6</f>
        <v>0</v>
      </c>
      <c r="U9" s="351" t="s">
        <v>363</v>
      </c>
      <c r="V9" s="43">
        <f>(U5*U6^3)/12</f>
        <v>0</v>
      </c>
    </row>
    <row r="10" spans="2:22" ht="15">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S10" s="351" t="s">
        <v>364</v>
      </c>
      <c r="T10">
        <f>T6/2</f>
        <v>0</v>
      </c>
      <c r="U10" s="351" t="s">
        <v>365</v>
      </c>
      <c r="V10" s="43" t="e">
        <f>V8+(T8*($T$12-T10)^2)</f>
        <v>#DIV/0!</v>
      </c>
    </row>
    <row r="11" spans="2:22" ht="15">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S11" s="351" t="s">
        <v>366</v>
      </c>
      <c r="T11">
        <f>(I18-0.5*I20)*0.001</f>
        <v>0</v>
      </c>
      <c r="U11" s="351" t="s">
        <v>367</v>
      </c>
      <c r="V11" s="43" t="e">
        <f>V9+(T9*($T$12-T11)^2)</f>
        <v>#DIV/0!</v>
      </c>
    </row>
    <row r="12" spans="2:22" ht="15">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S12" s="351" t="s">
        <v>368</v>
      </c>
      <c r="T12" s="141" t="e">
        <f>(T8*T10+T9*T11)/(T8+T9)</f>
        <v>#DIV/0!</v>
      </c>
      <c r="U12" s="351" t="s">
        <v>369</v>
      </c>
      <c r="V12" s="144" t="e">
        <f>SUM(V10:V11)</f>
        <v>#DIV/0!</v>
      </c>
    </row>
    <row r="13" spans="2:22">
      <c r="B13" s="362" t="s">
        <v>442</v>
      </c>
      <c r="C13" s="176" t="s">
        <v>111</v>
      </c>
      <c r="E13" s="17" t="s">
        <v>443</v>
      </c>
      <c r="F13" s="176" t="s">
        <v>111</v>
      </c>
      <c r="G13" s="176" t="s">
        <v>111</v>
      </c>
      <c r="H13" s="69"/>
      <c r="I13" s="67"/>
      <c r="K13" s="69"/>
      <c r="V13" s="43"/>
    </row>
    <row r="14" spans="2:22" ht="13.15">
      <c r="B14" s="983" t="s">
        <v>370</v>
      </c>
      <c r="C14" s="35">
        <v>3</v>
      </c>
      <c r="E14" s="17">
        <v>3</v>
      </c>
      <c r="F14" s="17">
        <v>0</v>
      </c>
      <c r="G14" s="17">
        <v>0</v>
      </c>
      <c r="H14" s="69"/>
      <c r="I14" s="69"/>
      <c r="K14" s="69"/>
      <c r="S14" s="3" t="s">
        <v>444</v>
      </c>
      <c r="T14" s="142" t="s">
        <v>354</v>
      </c>
      <c r="U14" s="142" t="s">
        <v>355</v>
      </c>
    </row>
    <row r="15" spans="2:22">
      <c r="B15" s="42" t="s">
        <v>332</v>
      </c>
      <c r="C15" s="35">
        <v>25.4</v>
      </c>
      <c r="E15" s="17">
        <v>25.4</v>
      </c>
      <c r="F15" s="17">
        <v>25.4</v>
      </c>
      <c r="G15" s="17">
        <v>25.4</v>
      </c>
      <c r="H15" s="69"/>
      <c r="I15" s="69"/>
      <c r="K15" s="69"/>
      <c r="S15" s="351" t="s">
        <v>356</v>
      </c>
      <c r="T15">
        <f>J21/1000</f>
        <v>0</v>
      </c>
      <c r="U15" s="140">
        <f>J20/1000</f>
        <v>0</v>
      </c>
    </row>
    <row r="16" spans="2:22">
      <c r="B16" s="42" t="s">
        <v>333</v>
      </c>
      <c r="C16" s="35">
        <v>1.6</v>
      </c>
      <c r="E16" s="17">
        <v>1.6</v>
      </c>
      <c r="F16" s="17">
        <v>1.6</v>
      </c>
      <c r="G16" s="17">
        <v>1.6</v>
      </c>
      <c r="H16" s="69"/>
      <c r="I16" s="69"/>
      <c r="K16" s="69"/>
      <c r="S16" s="351" t="s">
        <v>359</v>
      </c>
      <c r="T16">
        <f>J22/1000</f>
        <v>0</v>
      </c>
      <c r="U16" s="140">
        <f>J22/1000</f>
        <v>0</v>
      </c>
    </row>
    <row r="17" spans="2:22">
      <c r="E17" s="39"/>
      <c r="F17" s="84" t="s">
        <v>434</v>
      </c>
      <c r="G17" s="49" t="str">
        <f>IF(AND(L27&gt;=100,F2="tubing only",NOT(OR(E18="NO",F18="NO",G18="NO"))),"YES","NO")</f>
        <v>YES</v>
      </c>
      <c r="H17" s="69"/>
      <c r="I17" s="71"/>
      <c r="K17" s="69"/>
    </row>
    <row r="18" spans="2:22" ht="12.75" customHeight="1">
      <c r="B18" s="42" t="s">
        <v>371</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S18" s="351" t="s">
        <v>360</v>
      </c>
      <c r="T18" s="43">
        <f>T15*T16</f>
        <v>0</v>
      </c>
      <c r="U18" s="351" t="s">
        <v>361</v>
      </c>
      <c r="V18" s="43">
        <f>(T15^3*T16)/12</f>
        <v>0</v>
      </c>
    </row>
    <row r="19" spans="2:22" ht="12.75" customHeight="1">
      <c r="B19" s="42" t="s">
        <v>372</v>
      </c>
      <c r="E19" s="4"/>
      <c r="G19" s="15"/>
      <c r="H19" s="69"/>
      <c r="I19" s="38"/>
      <c r="J19" s="17"/>
      <c r="K19" s="69"/>
      <c r="S19" s="351" t="s">
        <v>362</v>
      </c>
      <c r="T19" s="43">
        <f>U15*U16</f>
        <v>0</v>
      </c>
      <c r="U19" s="351" t="s">
        <v>363</v>
      </c>
      <c r="V19" s="43">
        <f>(U15^3*U16)/12</f>
        <v>0</v>
      </c>
    </row>
    <row r="20" spans="2:22" ht="12.75" customHeight="1">
      <c r="B20" s="42" t="s">
        <v>373</v>
      </c>
      <c r="E20" s="4"/>
      <c r="G20" s="15"/>
      <c r="H20" s="69"/>
      <c r="I20" s="796"/>
      <c r="J20" s="796"/>
      <c r="K20" s="69"/>
      <c r="M20" s="361" t="str">
        <f>IF(OR(I20&lt;0.4*I21,J20&lt;0.4*J21),"Asymmetrical lay-up: skin too thin in comparison, see T3.4.4.","")</f>
        <v/>
      </c>
      <c r="S20" s="351" t="s">
        <v>380</v>
      </c>
      <c r="T20">
        <f>J21/2000</f>
        <v>0</v>
      </c>
      <c r="U20" s="351" t="s">
        <v>365</v>
      </c>
      <c r="V20" s="43" t="e">
        <f>V18+(T18*($T$22-T20)^2)</f>
        <v>#DIV/0!</v>
      </c>
    </row>
    <row r="21" spans="2:22" ht="12.75" customHeight="1">
      <c r="B21" s="362" t="s">
        <v>374</v>
      </c>
      <c r="E21" s="4"/>
      <c r="G21" s="15"/>
      <c r="H21" s="69"/>
      <c r="I21" s="796"/>
      <c r="J21" s="796"/>
      <c r="K21" s="69"/>
      <c r="M21" s="361" t="str">
        <f>IF(OR(I21&lt;0.4*I20,J21&lt;0.4*J20),"Asymmetrical lay-up: skin too thin in comparison, see T3.4.4.","")</f>
        <v/>
      </c>
      <c r="S21" s="351" t="s">
        <v>381</v>
      </c>
      <c r="T21">
        <f>(J18-0.5*J20)*0.001</f>
        <v>0</v>
      </c>
      <c r="U21" s="351" t="s">
        <v>367</v>
      </c>
      <c r="V21" s="43" t="e">
        <f>V19+(T19*($T$22-T21)^2)</f>
        <v>#DIV/0!</v>
      </c>
    </row>
    <row r="22" spans="2:22" ht="12.75" customHeight="1">
      <c r="B22" s="362" t="s">
        <v>445</v>
      </c>
      <c r="E22" s="4"/>
      <c r="G22" s="15"/>
      <c r="H22" s="69"/>
      <c r="I22" s="38"/>
      <c r="J22" s="17"/>
      <c r="K22" s="69"/>
      <c r="S22" s="351" t="s">
        <v>368</v>
      </c>
      <c r="T22" s="141" t="e">
        <f>(T18*T20+T19*T21)/(T18+T19)</f>
        <v>#DIV/0!</v>
      </c>
      <c r="U22" s="351" t="s">
        <v>369</v>
      </c>
      <c r="V22" s="144" t="e">
        <f>SUM(V20:V21)</f>
        <v>#DIV/0!</v>
      </c>
    </row>
    <row r="23" spans="2:22">
      <c r="E23" s="79"/>
      <c r="F23" s="80"/>
      <c r="G23" s="81"/>
      <c r="H23" s="69"/>
      <c r="I23" s="67"/>
      <c r="K23" s="69"/>
      <c r="P23" s="43"/>
    </row>
    <row r="24" spans="2:22">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2">
      <c r="B25" s="42" t="s">
        <v>335</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2">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Only",V12)</f>
        <v>Tubing Only</v>
      </c>
      <c r="J26" s="73" t="str">
        <f>IF($F$2="Tubing only","Tubing Only",V22)</f>
        <v>Tubing Only</v>
      </c>
      <c r="K26" s="36">
        <f>IF($F$2="Tubing only",H26,IF($F$2="Composite only",I26+J26,IF($F$2="Tubes + Composite",H26+I26+J26,"No Type Selected")))</f>
        <v>8.5099184800000022E-9</v>
      </c>
      <c r="P26" s="43"/>
      <c r="S26" s="43"/>
      <c r="T26" s="44"/>
    </row>
    <row r="27" spans="2:22">
      <c r="B27" s="42" t="s">
        <v>337</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15"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2">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1">
        <f>IF(AND($F$2="tubing only",AND(E5="steel",F5="steel",G5="steel")),100*K28/C28,"NA")</f>
        <v>100</v>
      </c>
      <c r="M28" t="str">
        <f>IF(AND(95&lt;L28,L28&lt;100),"For tubes only, provided your actual tube measures &gt;= your nominal OD and wall this is OK","")</f>
        <v/>
      </c>
      <c r="S28" s="43"/>
    </row>
    <row r="29" spans="2:22">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2">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2">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2">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345</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2" t="s">
        <v>219</v>
      </c>
      <c r="O35" s="162"/>
      <c r="P35" s="162"/>
    </row>
    <row r="36" spans="2:16">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6" ht="13.15">
      <c r="B37" s="3" t="s">
        <v>376</v>
      </c>
      <c r="E37" s="43"/>
    </row>
    <row r="38" spans="2:16">
      <c r="B38" s="984" t="s">
        <v>455</v>
      </c>
      <c r="C38" s="20"/>
      <c r="D38" s="20"/>
      <c r="E38" s="20"/>
      <c r="F38" s="20"/>
      <c r="G38" s="20"/>
      <c r="H38" s="20"/>
      <c r="I38" s="20"/>
      <c r="J38" s="20"/>
      <c r="K38" s="20"/>
      <c r="L38" s="20"/>
      <c r="M38" s="20"/>
      <c r="N38" s="20"/>
      <c r="O38" s="20"/>
      <c r="P38" s="21"/>
    </row>
    <row r="39" spans="2:16">
      <c r="B39" s="985" t="s">
        <v>378</v>
      </c>
      <c r="C39" s="26"/>
      <c r="D39" s="26"/>
      <c r="E39" s="26"/>
      <c r="F39" s="26"/>
      <c r="G39" s="26"/>
      <c r="H39" s="26"/>
      <c r="I39" s="26"/>
      <c r="J39" s="26"/>
      <c r="K39" s="26"/>
      <c r="L39" s="26"/>
      <c r="M39" s="26"/>
      <c r="N39" s="26"/>
      <c r="O39" s="26"/>
      <c r="P39" s="27"/>
    </row>
    <row r="40" spans="2:16">
      <c r="B40" s="25"/>
      <c r="C40" s="26"/>
      <c r="D40" s="26"/>
      <c r="E40" s="26"/>
      <c r="F40" s="26"/>
      <c r="G40" s="26"/>
      <c r="H40" s="374"/>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VqbhfZOhXtbIACuo2tN92N2FmtS/5u7di9swSYF9FDI3/GTtDL7xqSId/c3MITpP7c8ycHFsoGbEGJYlhc8rlQ==" saltValue="0zdgOtzlOcwp1kk5EJse5w==" spinCount="100000" sheet="1" scenarios="1" insertHyperlinks="0"/>
  <protectedRanges>
    <protectedRange sqref="F2 E5:G6 I5:J5 E13 E14:G16 I19:J22 B40:P190 C38:P39" name="Bereich1"/>
    <protectedRange sqref="B38" name="Bereich1_1"/>
    <protectedRange sqref="B39" name="Bereich1_1_1"/>
  </protectedRanges>
  <mergeCells count="2">
    <mergeCell ref="C2:E2"/>
    <mergeCell ref="F2:G2"/>
  </mergeCells>
  <conditionalFormatting sqref="E16:G16">
    <cfRule type="cellIs" dxfId="290" priority="14" stopIfTrue="1" operator="lessThan">
      <formula>1.2</formula>
    </cfRule>
  </conditionalFormatting>
  <conditionalFormatting sqref="E27:G33">
    <cfRule type="cellIs" dxfId="289" priority="24" stopIfTrue="1" operator="lessThan">
      <formula>0.95*$C27*(E$14/$C$14)</formula>
    </cfRule>
  </conditionalFormatting>
  <conditionalFormatting sqref="E35:G35">
    <cfRule type="cellIs" dxfId="288" priority="22" stopIfTrue="1" operator="lessThan">
      <formula>0.95*$C35*(E$14/$C$14)</formula>
    </cfRule>
  </conditionalFormatting>
  <conditionalFormatting sqref="I22">
    <cfRule type="cellIs" dxfId="287" priority="16" stopIfTrue="1" operator="greaterThan">
      <formula>320</formula>
    </cfRule>
    <cfRule type="cellIs" dxfId="286" priority="17" stopIfTrue="1" operator="greaterThan">
      <formula>320</formula>
    </cfRule>
  </conditionalFormatting>
  <conditionalFormatting sqref="I27">
    <cfRule type="cellIs" dxfId="285" priority="13" stopIfTrue="1" operator="lessThan">
      <formula>$C$27*(2/3)</formula>
    </cfRule>
  </conditionalFormatting>
  <conditionalFormatting sqref="I20:J20">
    <cfRule type="expression" dxfId="284" priority="2">
      <formula>I20&lt;0.4*I21</formula>
    </cfRule>
  </conditionalFormatting>
  <conditionalFormatting sqref="I21:J21">
    <cfRule type="expression" dxfId="283" priority="1">
      <formula>I21&lt;0.4*I20</formula>
    </cfRule>
  </conditionalFormatting>
  <conditionalFormatting sqref="J27">
    <cfRule type="cellIs" dxfId="282" priority="19" stopIfTrue="1" operator="lessThan">
      <formula>$C$27/3</formula>
    </cfRule>
  </conditionalFormatting>
  <conditionalFormatting sqref="L27">
    <cfRule type="cellIs" dxfId="281" priority="33" stopIfTrue="1" operator="lessThan">
      <formula>50</formula>
    </cfRule>
    <cfRule type="cellIs" dxfId="280" priority="34" stopIfTrue="1" operator="between">
      <formula>50</formula>
      <formula>100</formula>
    </cfRule>
  </conditionalFormatting>
  <conditionalFormatting sqref="L27:L33">
    <cfRule type="cellIs" dxfId="279" priority="28" stopIfTrue="1" operator="greaterThanOrEqual">
      <formula>100</formula>
    </cfRule>
  </conditionalFormatting>
  <conditionalFormatting sqref="L28:L33">
    <cfRule type="cellIs" dxfId="278" priority="29" stopIfTrue="1" operator="lessThan">
      <formula>100</formula>
    </cfRule>
  </conditionalFormatting>
  <conditionalFormatting sqref="L34">
    <cfRule type="cellIs" dxfId="277" priority="18" stopIfTrue="1" operator="equal">
      <formula>"NA"</formula>
    </cfRule>
    <cfRule type="cellIs" dxfId="276" priority="27" stopIfTrue="1" operator="between">
      <formula>100.1</formula>
      <formula>200</formula>
    </cfRule>
    <cfRule type="cellIs" dxfId="275" priority="30" stopIfTrue="1" operator="greaterThan">
      <formula>200</formula>
    </cfRule>
    <cfRule type="cellIs" dxfId="274" priority="31" stopIfTrue="1" operator="lessThanOrEqual">
      <formula>100</formula>
    </cfRule>
  </conditionalFormatting>
  <conditionalFormatting sqref="L35">
    <cfRule type="cellIs" dxfId="273" priority="20" stopIfTrue="1" operator="greaterThanOrEqual">
      <formula>100</formula>
    </cfRule>
    <cfRule type="cellIs" dxfId="272" priority="21" stopIfTrue="1" operator="lessThan">
      <formula>100</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N35" location="'Cover Sheet'!A1" display="BACK to COVER SHEET" xr:uid="{20963EE0-AAF5-49AA-87AF-104CA45B6C5D}"/>
    <hyperlink ref="N35:P35" location="'Cover Sheet'!A1" display="BACK to COVER SHEET" xr:uid="{B1CC5032-29FA-494A-A6D0-2F9B7BB19FAC}"/>
    <hyperlink ref="B38" location="'EV4.4 Guidance Notes'!A1" display="Link to GUIDANCE NOTES for laminated structures" xr:uid="{6CE4E47A-98B8-4754-93D7-844E3324809C}"/>
    <hyperlink ref="B39" location="'T3.5 Guidance Notes'!A1" display="Link to GUIDANCE NOTES for anisotropic laminates" xr:uid="{D35BBD3A-A852-44E5-B7B0-4239D79164B9}"/>
    <hyperlink ref="B14" location="'T1.1 Guidance Notes'!A1" display="Number of tubes" xr:uid="{D4B42E6D-CE9A-4D54-A48C-F97DE650D35F}"/>
  </hyperlinks>
  <pageMargins left="0.75" right="0.75" top="1" bottom="1" header="0.5" footer="0.5"/>
  <pageSetup paperSize="9" scale="41" fitToHeight="2" orientation="portrait" horizontalDpi="4294967294"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457</v>
      </c>
    </row>
    <row r="2" spans="2:15" ht="13.15">
      <c r="C2" s="1223" t="s">
        <v>351</v>
      </c>
      <c r="D2" s="1266"/>
      <c r="E2" s="1224"/>
      <c r="F2" s="1246" t="s">
        <v>207</v>
      </c>
      <c r="G2" s="1247"/>
      <c r="L2" s="162" t="s">
        <v>219</v>
      </c>
      <c r="M2" s="162"/>
    </row>
    <row r="4" spans="2:15" ht="25.5" customHeight="1">
      <c r="B4" s="41" t="s">
        <v>326</v>
      </c>
      <c r="C4" s="41" t="s">
        <v>327</v>
      </c>
      <c r="D4" s="3"/>
      <c r="E4" s="52" t="s">
        <v>430</v>
      </c>
      <c r="F4" s="52" t="s">
        <v>431</v>
      </c>
      <c r="G4" s="52" t="s">
        <v>432</v>
      </c>
      <c r="H4" s="52" t="s">
        <v>433</v>
      </c>
      <c r="I4" s="77" t="s">
        <v>352</v>
      </c>
      <c r="J4" s="52" t="s">
        <v>353</v>
      </c>
      <c r="L4" s="3"/>
      <c r="M4" s="142" t="s">
        <v>354</v>
      </c>
      <c r="N4" s="142" t="s">
        <v>355</v>
      </c>
    </row>
    <row r="5" spans="2:15">
      <c r="B5" s="362" t="s">
        <v>329</v>
      </c>
      <c r="C5" s="35" t="s">
        <v>175</v>
      </c>
      <c r="E5" s="17" t="s">
        <v>175</v>
      </c>
      <c r="F5" s="17" t="s">
        <v>175</v>
      </c>
      <c r="G5" s="17" t="s">
        <v>175</v>
      </c>
      <c r="H5" s="67"/>
      <c r="I5" s="38" t="s">
        <v>178</v>
      </c>
      <c r="J5" s="67"/>
      <c r="L5" s="351" t="s">
        <v>356</v>
      </c>
      <c r="M5">
        <f>I22/1000</f>
        <v>0.32</v>
      </c>
      <c r="N5" s="140">
        <f>M5</f>
        <v>0.32</v>
      </c>
    </row>
    <row r="6" spans="2:15">
      <c r="B6" s="362" t="s">
        <v>357</v>
      </c>
      <c r="C6" s="35" t="s">
        <v>214</v>
      </c>
      <c r="E6" s="17" t="s">
        <v>214</v>
      </c>
      <c r="F6" s="17" t="s">
        <v>214</v>
      </c>
      <c r="G6" s="17" t="s">
        <v>214</v>
      </c>
      <c r="H6" s="69"/>
      <c r="I6" s="68" t="s">
        <v>358</v>
      </c>
      <c r="J6" s="51"/>
      <c r="L6" s="351" t="s">
        <v>359</v>
      </c>
      <c r="M6">
        <f>I21/1000</f>
        <v>1E-3</v>
      </c>
      <c r="N6" s="140">
        <f>I20/1000</f>
        <v>1E-3</v>
      </c>
    </row>
    <row r="7" spans="2:15">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69"/>
    </row>
    <row r="8" spans="2:15" ht="15">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51"/>
      <c r="L8" s="351" t="s">
        <v>360</v>
      </c>
      <c r="M8" s="43">
        <f>M5*M6</f>
        <v>3.2000000000000003E-4</v>
      </c>
      <c r="N8" s="351" t="s">
        <v>361</v>
      </c>
      <c r="O8" s="43">
        <f>(M5*M6^3)/12</f>
        <v>2.6666666666666668E-11</v>
      </c>
    </row>
    <row r="9" spans="2:15" ht="15">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51"/>
      <c r="L9" s="351" t="s">
        <v>362</v>
      </c>
      <c r="M9" s="43">
        <f>N5*N6</f>
        <v>3.2000000000000003E-4</v>
      </c>
      <c r="N9" s="351" t="s">
        <v>363</v>
      </c>
      <c r="O9" s="43">
        <f>(N5*N6^3)/12</f>
        <v>2.6666666666666668E-11</v>
      </c>
    </row>
    <row r="10" spans="2:15" ht="15">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51"/>
      <c r="L10" s="351" t="s">
        <v>364</v>
      </c>
      <c r="M10">
        <f>M6/2</f>
        <v>5.0000000000000001E-4</v>
      </c>
      <c r="N10" s="351" t="s">
        <v>365</v>
      </c>
      <c r="O10" s="43">
        <f>O8+(M8*($M$12-M10)^2)</f>
        <v>2.8906666666666669E-8</v>
      </c>
    </row>
    <row r="11" spans="2:15" ht="15">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51"/>
      <c r="L11" s="351" t="s">
        <v>366</v>
      </c>
      <c r="M11">
        <f>(I18-0.5*I20)*0.001</f>
        <v>1.95E-2</v>
      </c>
      <c r="N11" s="351" t="s">
        <v>367</v>
      </c>
      <c r="O11" s="43">
        <f>O9+(M9*($M$12-M11)^2)</f>
        <v>2.8906666666666669E-8</v>
      </c>
    </row>
    <row r="12" spans="2:15" ht="15">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51"/>
      <c r="L12" s="351" t="s">
        <v>368</v>
      </c>
      <c r="M12" s="141">
        <f>(M8*M10+M9*M11)/(M8+M9)</f>
        <v>0.01</v>
      </c>
      <c r="N12" s="351" t="s">
        <v>369</v>
      </c>
      <c r="O12" s="144">
        <f>SUM(O10:O11)</f>
        <v>5.7813333333333339E-8</v>
      </c>
    </row>
    <row r="13" spans="2:15">
      <c r="E13" s="4"/>
      <c r="G13" s="15"/>
      <c r="H13" s="69"/>
      <c r="J13" s="69"/>
      <c r="O13" s="43"/>
    </row>
    <row r="14" spans="2:15">
      <c r="B14" s="42" t="s">
        <v>370</v>
      </c>
      <c r="C14" s="35">
        <v>3</v>
      </c>
      <c r="E14" s="17">
        <v>3</v>
      </c>
      <c r="F14" s="17">
        <v>0</v>
      </c>
      <c r="G14" s="17">
        <v>0</v>
      </c>
      <c r="H14" s="69"/>
      <c r="J14" s="69"/>
      <c r="O14" s="43"/>
    </row>
    <row r="15" spans="2:15">
      <c r="B15" s="42" t="s">
        <v>332</v>
      </c>
      <c r="C15" s="35">
        <v>25.4</v>
      </c>
      <c r="E15" s="17">
        <v>25.4</v>
      </c>
      <c r="F15" s="17">
        <v>25.4</v>
      </c>
      <c r="G15" s="17">
        <v>25.4</v>
      </c>
      <c r="H15" s="69"/>
      <c r="J15" s="69"/>
      <c r="O15" s="43"/>
    </row>
    <row r="16" spans="2:15">
      <c r="B16" s="42" t="s">
        <v>333</v>
      </c>
      <c r="C16" s="35">
        <v>1.6</v>
      </c>
      <c r="E16" s="17">
        <v>1.6</v>
      </c>
      <c r="F16" s="17">
        <v>1.6</v>
      </c>
      <c r="G16" s="17">
        <v>1.6</v>
      </c>
      <c r="H16" s="69"/>
      <c r="J16" s="69"/>
      <c r="L16" s="123"/>
      <c r="O16" s="43"/>
    </row>
    <row r="17" spans="2:20">
      <c r="E17" s="39"/>
      <c r="F17" s="78" t="s">
        <v>434</v>
      </c>
      <c r="G17" s="49" t="str">
        <f>IF(AND(K27&gt;=100,F2="tubing only",NOT(OR(E18="NO",F18="NO",G18="NO"))),"YES","NO")</f>
        <v>YES</v>
      </c>
      <c r="H17" s="69"/>
      <c r="J17" s="69"/>
      <c r="O17" s="43"/>
    </row>
    <row r="18" spans="2:20" ht="12.75" customHeight="1">
      <c r="B18" s="42" t="s">
        <v>371</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372</v>
      </c>
      <c r="E19" s="1268"/>
      <c r="F19" s="1269"/>
      <c r="G19" s="1270"/>
      <c r="H19" s="69"/>
      <c r="I19" s="38">
        <v>18</v>
      </c>
      <c r="J19" s="69"/>
      <c r="O19" s="43"/>
    </row>
    <row r="20" spans="2:20" ht="12.75" customHeight="1">
      <c r="B20" s="42" t="s">
        <v>373</v>
      </c>
      <c r="E20" s="1268"/>
      <c r="F20" s="1269"/>
      <c r="G20" s="1270"/>
      <c r="H20" s="69"/>
      <c r="I20" s="38">
        <v>1</v>
      </c>
      <c r="J20" s="69"/>
      <c r="O20" s="43"/>
    </row>
    <row r="21" spans="2:20" ht="12.75" customHeight="1">
      <c r="B21" s="362" t="s">
        <v>374</v>
      </c>
      <c r="E21" s="1268"/>
      <c r="F21" s="1269"/>
      <c r="G21" s="1270"/>
      <c r="H21" s="69"/>
      <c r="I21" s="38">
        <v>1</v>
      </c>
      <c r="J21" s="69"/>
      <c r="O21" s="43"/>
    </row>
    <row r="22" spans="2:20" ht="12.75" customHeight="1">
      <c r="B22" s="42" t="s">
        <v>375</v>
      </c>
      <c r="E22" s="1268"/>
      <c r="F22" s="1269"/>
      <c r="G22" s="1270"/>
      <c r="H22" s="69"/>
      <c r="I22" s="38">
        <v>320</v>
      </c>
      <c r="J22" s="69"/>
      <c r="K22" s="514"/>
      <c r="O22" s="43"/>
    </row>
    <row r="23" spans="2:20">
      <c r="E23" s="79"/>
      <c r="F23" s="80"/>
      <c r="G23" s="81"/>
      <c r="H23" s="69"/>
      <c r="J23" s="69"/>
      <c r="O23" s="43"/>
    </row>
    <row r="24" spans="2:20">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335</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337</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345</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3" ht="13.15">
      <c r="B37" s="3" t="s">
        <v>376</v>
      </c>
      <c r="E37" s="43"/>
    </row>
    <row r="38" spans="2:13">
      <c r="B38" s="19"/>
      <c r="C38" s="20"/>
      <c r="D38" s="20"/>
      <c r="E38" s="20"/>
      <c r="F38" s="20"/>
      <c r="G38" s="20"/>
      <c r="H38" s="20"/>
      <c r="I38" s="20"/>
      <c r="J38" s="20"/>
      <c r="K38" s="21"/>
    </row>
    <row r="39" spans="2:13" ht="13.15">
      <c r="B39" s="387" t="s">
        <v>458</v>
      </c>
      <c r="C39" s="26"/>
      <c r="D39" s="26"/>
      <c r="E39" s="26"/>
      <c r="F39" s="26"/>
      <c r="G39" s="26"/>
      <c r="H39" s="26"/>
      <c r="I39" s="26"/>
      <c r="J39" s="26"/>
      <c r="K39" s="27"/>
    </row>
    <row r="40" spans="2:13" ht="13.15">
      <c r="B40" s="387" t="s">
        <v>459</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OYuBMPW5sydyZrgJ+R8K6MI2Qt8yqEKocrmwKHrU2fES/S3p120rD8uuAHboXHRsrUzXTV2qi6EOphoix3ztuA==" saltValue="CmkWdXaXDv7ENKjdLjUR0A==" spinCount="100000" sheet="1" scenarios="1" insertHyperlinks="0"/>
  <mergeCells count="3">
    <mergeCell ref="C2:E2"/>
    <mergeCell ref="F2:G2"/>
    <mergeCell ref="E19:G22"/>
  </mergeCells>
  <phoneticPr fontId="0" type="noConversion"/>
  <conditionalFormatting sqref="E27:G33">
    <cfRule type="cellIs" dxfId="271" priority="7" stopIfTrue="1" operator="lessThan">
      <formula>0.95*$C27*(E$14/$C$14)</formula>
    </cfRule>
  </conditionalFormatting>
  <conditionalFormatting sqref="E35:G35">
    <cfRule type="cellIs" dxfId="270" priority="5" stopIfTrue="1" operator="lessThan">
      <formula>0.95*$C35*(E$14/$C$14)</formula>
    </cfRule>
  </conditionalFormatting>
  <conditionalFormatting sqref="K27">
    <cfRule type="cellIs" dxfId="269" priority="19" stopIfTrue="1" operator="lessThan">
      <formula>33.3</formula>
    </cfRule>
    <cfRule type="cellIs" dxfId="268" priority="20" stopIfTrue="1" operator="between">
      <formula>33.3</formula>
      <formula>100</formula>
    </cfRule>
  </conditionalFormatting>
  <conditionalFormatting sqref="K27:K33">
    <cfRule type="cellIs" dxfId="267" priority="14" stopIfTrue="1" operator="greaterThanOrEqual">
      <formula>100</formula>
    </cfRule>
  </conditionalFormatting>
  <conditionalFormatting sqref="K28:K33">
    <cfRule type="cellIs" dxfId="266" priority="15" stopIfTrue="1" operator="lessThan">
      <formula>100</formula>
    </cfRule>
  </conditionalFormatting>
  <conditionalFormatting sqref="K34">
    <cfRule type="cellIs" dxfId="265" priority="9" stopIfTrue="1" operator="between">
      <formula>100.1</formula>
      <formula>300</formula>
    </cfRule>
    <cfRule type="cellIs" dxfId="264" priority="16" stopIfTrue="1" operator="greaterThan">
      <formula>300</formula>
    </cfRule>
    <cfRule type="cellIs" dxfId="263" priority="17" stopIfTrue="1" operator="lessThanOrEqual">
      <formula>100</formula>
    </cfRule>
  </conditionalFormatting>
  <conditionalFormatting sqref="K35">
    <cfRule type="cellIs" dxfId="262" priority="10" stopIfTrue="1" operator="greaterThanOrEqual">
      <formula>100</formula>
    </cfRule>
    <cfRule type="cellIs" dxfId="261" priority="11" stopIfTrue="1" operator="lessThan">
      <formula>33.3</formula>
    </cfRule>
    <cfRule type="cellIs" dxfId="260" priority="12" stopIfTrue="1" operator="between">
      <formula>33.3</formula>
      <formula>100</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457</v>
      </c>
    </row>
    <row r="2" spans="2:15" ht="13.15">
      <c r="C2" s="1223" t="s">
        <v>351</v>
      </c>
      <c r="D2" s="1266"/>
      <c r="E2" s="1224"/>
      <c r="F2" s="1246" t="s">
        <v>207</v>
      </c>
      <c r="G2" s="1247"/>
      <c r="L2" s="162" t="s">
        <v>219</v>
      </c>
      <c r="M2" s="162"/>
    </row>
    <row r="4" spans="2:15" ht="25.5" customHeight="1">
      <c r="B4" s="41" t="s">
        <v>326</v>
      </c>
      <c r="C4" s="41" t="s">
        <v>327</v>
      </c>
      <c r="D4" s="3"/>
      <c r="E4" s="52" t="s">
        <v>430</v>
      </c>
      <c r="F4" s="52" t="s">
        <v>431</v>
      </c>
      <c r="G4" s="52" t="s">
        <v>432</v>
      </c>
      <c r="H4" s="52" t="s">
        <v>433</v>
      </c>
      <c r="I4" s="77" t="s">
        <v>352</v>
      </c>
      <c r="J4" s="52" t="s">
        <v>353</v>
      </c>
      <c r="L4" s="3"/>
      <c r="M4" s="142" t="s">
        <v>354</v>
      </c>
      <c r="N4" s="142" t="s">
        <v>355</v>
      </c>
    </row>
    <row r="5" spans="2:15">
      <c r="B5" s="362" t="s">
        <v>329</v>
      </c>
      <c r="C5" s="35" t="s">
        <v>175</v>
      </c>
      <c r="E5" s="17" t="s">
        <v>175</v>
      </c>
      <c r="F5" s="17" t="s">
        <v>175</v>
      </c>
      <c r="G5" s="17" t="s">
        <v>175</v>
      </c>
      <c r="H5" s="67"/>
      <c r="I5" s="38" t="s">
        <v>178</v>
      </c>
      <c r="J5" s="67"/>
      <c r="L5" s="351" t="s">
        <v>356</v>
      </c>
      <c r="M5">
        <f>I22/1000</f>
        <v>0.32</v>
      </c>
      <c r="N5" s="140">
        <f>M5</f>
        <v>0.32</v>
      </c>
    </row>
    <row r="6" spans="2:15">
      <c r="B6" s="362" t="s">
        <v>357</v>
      </c>
      <c r="C6" s="35" t="s">
        <v>214</v>
      </c>
      <c r="E6" s="17" t="s">
        <v>214</v>
      </c>
      <c r="F6" s="17" t="s">
        <v>214</v>
      </c>
      <c r="G6" s="17" t="s">
        <v>214</v>
      </c>
      <c r="H6" s="69"/>
      <c r="I6" s="68" t="s">
        <v>358</v>
      </c>
      <c r="J6" s="51"/>
      <c r="L6" s="351" t="s">
        <v>359</v>
      </c>
      <c r="M6">
        <f>I21/1000</f>
        <v>1E-3</v>
      </c>
      <c r="N6" s="140">
        <f>I20/1000</f>
        <v>1E-3</v>
      </c>
    </row>
    <row r="7" spans="2:15">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69"/>
    </row>
    <row r="8" spans="2:15" ht="15">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51"/>
      <c r="L8" s="351" t="s">
        <v>360</v>
      </c>
      <c r="M8" s="43">
        <f>M5*M6</f>
        <v>3.2000000000000003E-4</v>
      </c>
      <c r="N8" s="351" t="s">
        <v>361</v>
      </c>
      <c r="O8" s="43">
        <f>(M5*M6^3)/12</f>
        <v>2.6666666666666668E-11</v>
      </c>
    </row>
    <row r="9" spans="2:15" ht="15">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51"/>
      <c r="L9" s="351" t="s">
        <v>362</v>
      </c>
      <c r="M9" s="43">
        <f>N5*N6</f>
        <v>3.2000000000000003E-4</v>
      </c>
      <c r="N9" s="351" t="s">
        <v>363</v>
      </c>
      <c r="O9" s="43">
        <f>(N5*N6^3)/12</f>
        <v>2.6666666666666668E-11</v>
      </c>
    </row>
    <row r="10" spans="2:15" ht="15">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51"/>
      <c r="L10" s="351" t="s">
        <v>364</v>
      </c>
      <c r="M10">
        <f>M6/2</f>
        <v>5.0000000000000001E-4</v>
      </c>
      <c r="N10" s="351" t="s">
        <v>365</v>
      </c>
      <c r="O10" s="43">
        <f>O8+(M8*($M$12-M10)^2)</f>
        <v>2.8906666666666669E-8</v>
      </c>
    </row>
    <row r="11" spans="2:15" ht="15">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51"/>
      <c r="L11" s="351" t="s">
        <v>366</v>
      </c>
      <c r="M11">
        <f>(I18-0.5*I20)*0.001</f>
        <v>1.95E-2</v>
      </c>
      <c r="N11" s="351" t="s">
        <v>367</v>
      </c>
      <c r="O11" s="43">
        <f>O9+(M9*($M$12-M11)^2)</f>
        <v>2.8906666666666669E-8</v>
      </c>
    </row>
    <row r="12" spans="2:15" ht="15">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51"/>
      <c r="L12" s="351" t="s">
        <v>368</v>
      </c>
      <c r="M12" s="141">
        <f>(M8*M10+M9*M11)/(M8+M9)</f>
        <v>0.01</v>
      </c>
      <c r="N12" s="351" t="s">
        <v>369</v>
      </c>
      <c r="O12" s="144">
        <f>SUM(O10:O11)</f>
        <v>5.7813333333333339E-8</v>
      </c>
    </row>
    <row r="13" spans="2:15">
      <c r="E13" s="4"/>
      <c r="G13" s="15"/>
      <c r="H13" s="69"/>
      <c r="J13" s="69"/>
      <c r="O13" s="43"/>
    </row>
    <row r="14" spans="2:15">
      <c r="B14" s="42" t="s">
        <v>370</v>
      </c>
      <c r="C14" s="35">
        <v>3</v>
      </c>
      <c r="E14" s="17">
        <v>3</v>
      </c>
      <c r="F14" s="17">
        <v>0</v>
      </c>
      <c r="G14" s="17">
        <v>0</v>
      </c>
      <c r="H14" s="69"/>
      <c r="J14" s="69"/>
      <c r="O14" s="43"/>
    </row>
    <row r="15" spans="2:15">
      <c r="B15" s="42" t="s">
        <v>332</v>
      </c>
      <c r="C15" s="35">
        <v>25.4</v>
      </c>
      <c r="E15" s="17">
        <v>25.4</v>
      </c>
      <c r="F15" s="17">
        <v>25.4</v>
      </c>
      <c r="G15" s="17">
        <v>25.4</v>
      </c>
      <c r="H15" s="69"/>
      <c r="J15" s="69"/>
      <c r="O15" s="43"/>
    </row>
    <row r="16" spans="2:15">
      <c r="B16" s="42" t="s">
        <v>333</v>
      </c>
      <c r="C16" s="35">
        <v>1.6</v>
      </c>
      <c r="E16" s="17">
        <v>1.6</v>
      </c>
      <c r="F16" s="17">
        <v>1.6</v>
      </c>
      <c r="G16" s="17">
        <v>1.6</v>
      </c>
      <c r="H16" s="69"/>
      <c r="J16" s="69"/>
      <c r="L16" s="123"/>
      <c r="O16" s="43"/>
    </row>
    <row r="17" spans="2:20">
      <c r="E17" s="39"/>
      <c r="F17" s="78" t="s">
        <v>434</v>
      </c>
      <c r="G17" s="49" t="str">
        <f>IF(AND(K27&gt;=100,F2="tubing only",NOT(OR(E18="NO",F18="NO",G18="NO"))),"YES","NO")</f>
        <v>YES</v>
      </c>
      <c r="H17" s="69"/>
      <c r="J17" s="69"/>
      <c r="O17" s="43"/>
    </row>
    <row r="18" spans="2:20" ht="12.75" customHeight="1">
      <c r="B18" s="42" t="s">
        <v>371</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372</v>
      </c>
      <c r="E19" s="1268"/>
      <c r="F19" s="1269"/>
      <c r="G19" s="1270"/>
      <c r="H19" s="69"/>
      <c r="I19" s="38">
        <v>18</v>
      </c>
      <c r="J19" s="69"/>
      <c r="O19" s="43"/>
    </row>
    <row r="20" spans="2:20" ht="12.75" customHeight="1">
      <c r="B20" s="42" t="s">
        <v>373</v>
      </c>
      <c r="E20" s="1268"/>
      <c r="F20" s="1269"/>
      <c r="G20" s="1270"/>
      <c r="H20" s="69"/>
      <c r="I20" s="38">
        <v>1</v>
      </c>
      <c r="J20" s="69"/>
      <c r="O20" s="43"/>
    </row>
    <row r="21" spans="2:20" ht="12.75" customHeight="1">
      <c r="B21" s="362" t="s">
        <v>374</v>
      </c>
      <c r="E21" s="1268"/>
      <c r="F21" s="1269"/>
      <c r="G21" s="1270"/>
      <c r="H21" s="69"/>
      <c r="I21" s="38">
        <v>1</v>
      </c>
      <c r="J21" s="69"/>
      <c r="O21" s="43"/>
    </row>
    <row r="22" spans="2:20" ht="12.75" customHeight="1">
      <c r="B22" s="42" t="s">
        <v>375</v>
      </c>
      <c r="E22" s="1268"/>
      <c r="F22" s="1269"/>
      <c r="G22" s="1270"/>
      <c r="H22" s="69"/>
      <c r="I22" s="38">
        <v>320</v>
      </c>
      <c r="J22" s="69"/>
      <c r="K22" s="514"/>
      <c r="O22" s="43"/>
    </row>
    <row r="23" spans="2:20">
      <c r="E23" s="79"/>
      <c r="F23" s="80"/>
      <c r="G23" s="81"/>
      <c r="H23" s="69"/>
      <c r="J23" s="69"/>
      <c r="O23" s="43"/>
    </row>
    <row r="24" spans="2:20">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335</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337</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345</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3" ht="13.15">
      <c r="B37" s="3" t="s">
        <v>376</v>
      </c>
      <c r="E37" s="43"/>
    </row>
    <row r="38" spans="2:13">
      <c r="B38" s="19"/>
      <c r="C38" s="20"/>
      <c r="D38" s="20"/>
      <c r="E38" s="20"/>
      <c r="F38" s="20"/>
      <c r="G38" s="20"/>
      <c r="H38" s="20"/>
      <c r="I38" s="20"/>
      <c r="J38" s="20"/>
      <c r="K38" s="21"/>
    </row>
    <row r="39" spans="2:13" ht="13.15">
      <c r="B39" s="387" t="s">
        <v>458</v>
      </c>
      <c r="C39" s="26"/>
      <c r="D39" s="26"/>
      <c r="E39" s="26"/>
      <c r="F39" s="26"/>
      <c r="G39" s="26"/>
      <c r="H39" s="26"/>
      <c r="I39" s="26"/>
      <c r="J39" s="26"/>
      <c r="K39" s="27"/>
    </row>
    <row r="40" spans="2:13" ht="13.15">
      <c r="B40" s="387" t="s">
        <v>459</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cyvyMSx8RmmQI1Uv6P99hwEm7qZHuzS65eob38LyADdYPlzDsHAKdMFoczJxXYwzSerbTOlmNtKIGCHRTi8CpA==" saltValue="hllF4e7f4oqi3gs/5OtMNw==" spinCount="100000" sheet="1" scenarios="1" insertHyperlinks="0"/>
  <mergeCells count="3">
    <mergeCell ref="C2:E2"/>
    <mergeCell ref="F2:G2"/>
    <mergeCell ref="E19:G22"/>
  </mergeCells>
  <conditionalFormatting sqref="E27:G33">
    <cfRule type="cellIs" dxfId="259" priority="3" stopIfTrue="1" operator="lessThan">
      <formula>0.95*$C27*(E$14/$C$14)</formula>
    </cfRule>
  </conditionalFormatting>
  <conditionalFormatting sqref="E35:G35">
    <cfRule type="cellIs" dxfId="258" priority="1" stopIfTrue="1" operator="lessThan">
      <formula>0.95*$C35*(E$14/$C$14)</formula>
    </cfRule>
  </conditionalFormatting>
  <conditionalFormatting sqref="K27">
    <cfRule type="cellIs" dxfId="257" priority="15" stopIfTrue="1" operator="lessThan">
      <formula>33.3</formula>
    </cfRule>
    <cfRule type="cellIs" dxfId="256" priority="16" stopIfTrue="1" operator="between">
      <formula>33.3</formula>
      <formula>100</formula>
    </cfRule>
  </conditionalFormatting>
  <conditionalFormatting sqref="K27:K33">
    <cfRule type="cellIs" dxfId="255" priority="10" stopIfTrue="1" operator="greaterThanOrEqual">
      <formula>100</formula>
    </cfRule>
  </conditionalFormatting>
  <conditionalFormatting sqref="K28:K33">
    <cfRule type="cellIs" dxfId="254" priority="11" stopIfTrue="1" operator="lessThan">
      <formula>100</formula>
    </cfRule>
  </conditionalFormatting>
  <conditionalFormatting sqref="K34">
    <cfRule type="cellIs" dxfId="253" priority="5" stopIfTrue="1" operator="between">
      <formula>100.1</formula>
      <formula>300</formula>
    </cfRule>
    <cfRule type="cellIs" dxfId="252" priority="12" stopIfTrue="1" operator="greaterThan">
      <formula>300</formula>
    </cfRule>
    <cfRule type="cellIs" dxfId="251" priority="13" stopIfTrue="1" operator="lessThanOrEqual">
      <formula>100</formula>
    </cfRule>
  </conditionalFormatting>
  <conditionalFormatting sqref="K35">
    <cfRule type="cellIs" dxfId="250" priority="6" stopIfTrue="1" operator="greaterThanOrEqual">
      <formula>100</formula>
    </cfRule>
    <cfRule type="cellIs" dxfId="249" priority="7" stopIfTrue="1" operator="lessThan">
      <formula>33.3</formula>
    </cfRule>
    <cfRule type="cellIs" dxfId="248" priority="8" stopIfTrue="1" operator="between">
      <formula>33.3</formula>
      <formula>100</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baseColWidth="10" defaultColWidth="11.46484375" defaultRowHeight="12.75"/>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 min="14" max="14" width="29" customWidth="1"/>
  </cols>
  <sheetData>
    <row r="1" spans="2:32" ht="15">
      <c r="B1" s="1" t="s">
        <v>460</v>
      </c>
      <c r="N1" s="1"/>
    </row>
    <row r="2" spans="2:32">
      <c r="C2" s="43"/>
      <c r="D2" s="43"/>
    </row>
    <row r="3" spans="2:32" ht="13.15">
      <c r="B3" t="s">
        <v>461</v>
      </c>
      <c r="C3" s="103">
        <v>2</v>
      </c>
      <c r="D3" s="3"/>
      <c r="E3" s="162"/>
      <c r="F3" s="140"/>
      <c r="M3" s="162" t="s">
        <v>219</v>
      </c>
      <c r="N3" s="140"/>
      <c r="O3" s="162"/>
      <c r="P3" s="162"/>
    </row>
    <row r="4" spans="2:32" ht="13.15">
      <c r="B4" s="140" t="s">
        <v>462</v>
      </c>
      <c r="C4" s="103" t="s">
        <v>422</v>
      </c>
      <c r="D4" s="3"/>
    </row>
    <row r="5" spans="2:32" ht="13.15">
      <c r="C5" s="64"/>
      <c r="D5" s="3"/>
    </row>
    <row r="6" spans="2:32" ht="13.15">
      <c r="B6" s="15"/>
      <c r="C6" s="333"/>
      <c r="D6" s="334"/>
      <c r="E6" s="58"/>
      <c r="F6" s="2"/>
      <c r="G6" s="1271" t="s">
        <v>463</v>
      </c>
      <c r="H6" s="1272"/>
      <c r="I6" s="689" t="s">
        <v>464</v>
      </c>
      <c r="J6" s="690"/>
      <c r="K6" s="334" t="s">
        <v>464</v>
      </c>
      <c r="L6" s="136"/>
    </row>
    <row r="7" spans="2:32" ht="13.15">
      <c r="B7" s="15"/>
      <c r="C7" s="335" t="s">
        <v>465</v>
      </c>
      <c r="D7" s="336"/>
      <c r="E7" s="255" t="s">
        <v>466</v>
      </c>
      <c r="F7" s="79"/>
      <c r="G7" s="1273"/>
      <c r="H7" s="1274"/>
      <c r="I7" s="691" t="s">
        <v>467</v>
      </c>
      <c r="J7" s="692"/>
      <c r="K7" s="688" t="s">
        <v>468</v>
      </c>
      <c r="L7" s="81"/>
    </row>
    <row r="8" spans="2:32" ht="13.15">
      <c r="B8" s="41" t="s">
        <v>469</v>
      </c>
      <c r="C8" s="1288" t="str">
        <f>IF(AND(D10="PASS",D11="PASS",D14="PASS",D15="PASS",D26="PASS",D18="PASS",D27="PASS", D28="pass"),"PASS","FAIL")</f>
        <v>FAIL</v>
      </c>
      <c r="D8" s="1289"/>
      <c r="E8" s="1288" t="str">
        <f>IF(AND(F10="PASS",F11="PASS",F12="PASS",F14="PASS",F15="PASS",F26="PASS",F18="PASS",F27="PASS",F28="pass"),"PASS","FAIL")</f>
        <v>FAIL</v>
      </c>
      <c r="F8" s="1289"/>
      <c r="G8" s="1275" t="str">
        <f>IF(C4="YES",IF(AND(H10="PASS",H11="PASS",H14="PASS",H15="PASS",H26="PASS",H18="PASS",H27="PASS"),"PASS","FAIL"),"N/A")</f>
        <v>FAIL</v>
      </c>
      <c r="H8" s="1276"/>
      <c r="I8" s="1290" t="str">
        <f>IF($C$3&lt;=2,"N/A",IF(AND(J10="PASS",J11="PASS",J14="PASS",J15="PASS",J26="PASS",J18="PASS",J27="PASS",J28="pass"),"PASS","FAIL"))</f>
        <v>N/A</v>
      </c>
      <c r="J8" s="1291"/>
      <c r="K8" s="1288" t="str">
        <f>IF($C$3&lt;=3,"N/A",IF(AND(L10="PASS",L11="PASS",L14="PASS",L15="PASS",L26="PASS",L18="PASS",L27="PASS",L28="pass"),"PASS","FAIL"))</f>
        <v>N/A</v>
      </c>
      <c r="L8" s="1289"/>
      <c r="M8" s="660"/>
      <c r="N8" s="660"/>
      <c r="O8" s="701"/>
      <c r="P8" s="20"/>
      <c r="Q8" s="20"/>
      <c r="R8" s="20"/>
      <c r="S8" s="20"/>
      <c r="T8" s="20"/>
      <c r="U8" s="20"/>
      <c r="V8" s="20"/>
      <c r="W8" s="20"/>
      <c r="X8" s="20"/>
      <c r="Y8" s="20"/>
      <c r="Z8" s="20"/>
      <c r="AA8" s="20"/>
      <c r="AB8" s="20"/>
      <c r="AC8" s="20"/>
      <c r="AD8" s="20"/>
      <c r="AE8" s="20"/>
      <c r="AF8" s="21"/>
    </row>
    <row r="9" spans="2:32">
      <c r="B9" s="4"/>
      <c r="C9" s="681"/>
      <c r="D9" s="382"/>
      <c r="E9" s="681"/>
      <c r="F9" s="382"/>
      <c r="G9" s="681"/>
      <c r="H9" s="695"/>
      <c r="I9" s="681"/>
      <c r="J9" s="382"/>
      <c r="K9" s="677"/>
      <c r="L9" s="293"/>
      <c r="M9" s="316"/>
      <c r="N9" s="316"/>
      <c r="O9" s="26"/>
      <c r="P9" s="26"/>
      <c r="Q9" s="26"/>
      <c r="R9" s="26"/>
      <c r="S9" s="26"/>
      <c r="T9" s="26"/>
      <c r="U9" s="26"/>
      <c r="V9" s="26"/>
      <c r="W9" s="26"/>
      <c r="X9" s="26"/>
      <c r="Y9" s="26"/>
      <c r="Z9" s="26"/>
      <c r="AA9" s="26"/>
      <c r="AB9" s="26"/>
      <c r="AC9" s="26"/>
      <c r="AD9" s="26"/>
      <c r="AE9" s="26"/>
      <c r="AF9" s="27"/>
    </row>
    <row r="10" spans="2:32">
      <c r="B10" s="58" t="s">
        <v>470</v>
      </c>
      <c r="C10" s="100">
        <v>0</v>
      </c>
      <c r="D10" s="60" t="str">
        <f>IF(C10&gt;=8,"PASS","FAIL")</f>
        <v>FAIL</v>
      </c>
      <c r="E10" s="101">
        <v>0</v>
      </c>
      <c r="F10" s="59" t="str">
        <f>IF(E10&gt;=8,"PASS","FAIL")</f>
        <v>FAIL</v>
      </c>
      <c r="G10" s="106">
        <v>0</v>
      </c>
      <c r="H10" s="671" t="str">
        <f>IF(G10&gt;=8,"PASS","FAIL")</f>
        <v>FAIL</v>
      </c>
      <c r="I10" s="101">
        <v>0</v>
      </c>
      <c r="J10" s="59" t="str">
        <f>IF(I10&gt;=8,"PASS","FAIL")</f>
        <v>FAIL</v>
      </c>
      <c r="K10" s="101">
        <v>0</v>
      </c>
      <c r="L10" s="59" t="str">
        <f>IF(K10&gt;=8,"PASS","FAIL")</f>
        <v>FAIL</v>
      </c>
      <c r="M10" s="316"/>
      <c r="N10" s="316"/>
      <c r="O10" s="26"/>
      <c r="P10" s="26"/>
      <c r="Q10" s="26"/>
      <c r="R10" s="26"/>
      <c r="S10" s="26"/>
      <c r="T10" s="26"/>
      <c r="U10" s="26"/>
      <c r="V10" s="26"/>
      <c r="W10" s="26"/>
      <c r="X10" s="26"/>
      <c r="Y10" s="26"/>
      <c r="Z10" s="26"/>
      <c r="AA10" s="26"/>
      <c r="AB10" s="26"/>
      <c r="AC10" s="26"/>
      <c r="AD10" s="26"/>
      <c r="AE10" s="26"/>
      <c r="AF10" s="27"/>
    </row>
    <row r="11" spans="2:32">
      <c r="B11" s="39" t="s">
        <v>471</v>
      </c>
      <c r="C11" s="75">
        <v>0</v>
      </c>
      <c r="D11" s="61" t="str">
        <f>IF(C11&gt;=2,"PASS","FAIL")</f>
        <v>FAIL</v>
      </c>
      <c r="E11" s="17">
        <v>0</v>
      </c>
      <c r="F11" s="61" t="str">
        <f>IF(E11&gt;=2,"PASS","FAIL")</f>
        <v>FAIL</v>
      </c>
      <c r="G11" s="17">
        <v>0</v>
      </c>
      <c r="H11" s="667" t="str">
        <f>IF(OR(AND(G10&gt;=8,G10&lt;10,G11&gt;=2),AND(G10&gt;=10,G11&gt;=1)),"PASS","FAIL")</f>
        <v>FAIL</v>
      </c>
      <c r="I11" s="337">
        <v>0</v>
      </c>
      <c r="J11" s="382" t="str">
        <f>IF(I11&gt;=2,"PASS","FAIL")</f>
        <v>FAIL</v>
      </c>
      <c r="K11" s="17">
        <v>0</v>
      </c>
      <c r="L11" s="382" t="str">
        <f>IF(K11&gt;=2,"PASS","FAIL")</f>
        <v>FAIL</v>
      </c>
      <c r="M11" s="316"/>
      <c r="N11" s="316"/>
      <c r="O11" s="26"/>
      <c r="P11" s="26"/>
      <c r="Q11" s="26"/>
      <c r="R11" s="26"/>
      <c r="S11" s="26"/>
      <c r="T11" s="26"/>
      <c r="U11" s="26"/>
      <c r="V11" s="26"/>
      <c r="W11" s="26"/>
      <c r="X11" s="26"/>
      <c r="Y11" s="26"/>
      <c r="Z11" s="26"/>
      <c r="AA11" s="26"/>
      <c r="AB11" s="26"/>
      <c r="AC11" s="26"/>
      <c r="AD11" s="26"/>
      <c r="AE11" s="26"/>
      <c r="AF11" s="27"/>
    </row>
    <row r="12" spans="2:32">
      <c r="B12" s="368" t="s">
        <v>472</v>
      </c>
      <c r="C12" s="679"/>
      <c r="D12" s="680"/>
      <c r="E12" s="26"/>
      <c r="F12" s="61" t="str">
        <f>IF(OR(E12&gt;=50,E12=""),"FAIL","PASS")</f>
        <v>FAIL</v>
      </c>
      <c r="H12" s="642"/>
      <c r="I12" s="679"/>
      <c r="J12" s="680"/>
      <c r="K12" s="679"/>
      <c r="L12" s="680"/>
      <c r="M12" s="316"/>
      <c r="N12" s="316"/>
      <c r="O12" s="26"/>
      <c r="P12" s="26"/>
      <c r="Q12" s="26"/>
      <c r="R12" s="26"/>
      <c r="S12" s="26"/>
      <c r="T12" s="26"/>
      <c r="U12" s="26"/>
      <c r="V12" s="26"/>
      <c r="W12" s="26"/>
      <c r="X12" s="26"/>
      <c r="Y12" s="26"/>
      <c r="Z12" s="26"/>
      <c r="AA12" s="26"/>
      <c r="AB12" s="26"/>
      <c r="AC12" s="26"/>
      <c r="AD12" s="26"/>
      <c r="AE12" s="26"/>
      <c r="AF12" s="27"/>
    </row>
    <row r="13" spans="2:32">
      <c r="B13" s="39"/>
      <c r="C13" s="677"/>
      <c r="D13" s="293"/>
      <c r="E13" s="678"/>
      <c r="F13" s="293"/>
      <c r="G13" s="1277"/>
      <c r="H13" s="1278"/>
      <c r="I13" s="39"/>
      <c r="J13" s="293"/>
      <c r="K13" s="677"/>
      <c r="L13" s="293"/>
      <c r="M13" s="316"/>
      <c r="N13" s="316"/>
      <c r="O13" s="26"/>
      <c r="P13" s="26"/>
      <c r="Q13" s="26"/>
      <c r="R13" s="26"/>
      <c r="S13" s="26"/>
      <c r="T13" s="26"/>
      <c r="U13" s="26"/>
      <c r="V13" s="26"/>
      <c r="W13" s="26"/>
      <c r="X13" s="26"/>
      <c r="Y13" s="26"/>
      <c r="Z13" s="26"/>
      <c r="AA13" s="26"/>
      <c r="AB13" s="26"/>
      <c r="AC13" s="26"/>
      <c r="AD13" s="26"/>
      <c r="AE13" s="26"/>
      <c r="AF13" s="27"/>
    </row>
    <row r="14" spans="2:32">
      <c r="B14" s="390" t="s">
        <v>473</v>
      </c>
      <c r="C14" s="102">
        <v>0</v>
      </c>
      <c r="D14" s="61" t="str">
        <f>IF(C14&gt;(PI()*25.4),"PASS","FAIL")</f>
        <v>FAIL</v>
      </c>
      <c r="E14" s="102">
        <v>0</v>
      </c>
      <c r="F14" s="382" t="str">
        <f>IF(E14&gt;(PI()*25.4),"PASS","FAIL")</f>
        <v>FAIL</v>
      </c>
      <c r="G14" s="102">
        <v>0</v>
      </c>
      <c r="H14" s="667" t="str">
        <f>IF(G14&gt;(PI()*25),"PASS","FAIL")</f>
        <v>FAIL</v>
      </c>
      <c r="I14" s="102">
        <v>0</v>
      </c>
      <c r="J14" s="382" t="str">
        <f>IF(I14&gt;(PI()*25.4),"PASS","FAIL")</f>
        <v>FAIL</v>
      </c>
      <c r="K14" s="102">
        <v>0</v>
      </c>
      <c r="L14" s="382" t="str">
        <f>IF(K14&gt;(PI()*25.4),"PASS","FAIL")</f>
        <v>FAIL</v>
      </c>
      <c r="M14" s="316"/>
      <c r="N14" s="316"/>
      <c r="O14" s="26"/>
      <c r="P14" s="26"/>
      <c r="Q14" s="26"/>
      <c r="R14" s="26"/>
      <c r="S14" s="26"/>
      <c r="T14" s="26"/>
      <c r="U14" s="26"/>
      <c r="V14" s="26"/>
      <c r="W14" s="26"/>
      <c r="X14" s="26"/>
      <c r="Y14" s="26"/>
      <c r="Z14" s="26"/>
      <c r="AA14" s="26"/>
      <c r="AB14" s="26"/>
      <c r="AC14" s="26"/>
      <c r="AD14" s="26"/>
      <c r="AE14" s="26"/>
      <c r="AF14" s="27"/>
    </row>
    <row r="15" spans="2:32">
      <c r="B15" s="39" t="s">
        <v>474</v>
      </c>
      <c r="C15" s="102">
        <v>0</v>
      </c>
      <c r="D15" s="61" t="str">
        <f>IF(C15&gt;=2,"PASS","FAIL")</f>
        <v>FAIL</v>
      </c>
      <c r="E15" s="102">
        <v>0</v>
      </c>
      <c r="F15" s="382" t="str">
        <f>IF(E15&gt;=2,"PASS","FAIL")</f>
        <v>FAIL</v>
      </c>
      <c r="G15" s="102">
        <v>0</v>
      </c>
      <c r="H15" s="695" t="str">
        <f>IF(G15&gt;=2,"PASS","FAIL")</f>
        <v>FAIL</v>
      </c>
      <c r="I15" s="102">
        <v>0</v>
      </c>
      <c r="J15" s="382" t="str">
        <f>IF(I15&gt;=2,"PASS","FAIL")</f>
        <v>FAIL</v>
      </c>
      <c r="K15" s="102">
        <v>0</v>
      </c>
      <c r="L15" s="382" t="str">
        <f>IF(K15&gt;=2,"PASS","FAIL")</f>
        <v>FAIL</v>
      </c>
      <c r="M15" s="316"/>
      <c r="N15" s="316"/>
      <c r="O15" s="26"/>
      <c r="P15" s="26"/>
      <c r="Q15" s="26"/>
      <c r="R15" s="26"/>
      <c r="S15" s="26"/>
      <c r="T15" s="26"/>
      <c r="U15" s="26"/>
      <c r="V15" s="26"/>
      <c r="W15" s="26"/>
      <c r="X15" s="26"/>
      <c r="Y15" s="26"/>
      <c r="Z15" s="26"/>
      <c r="AA15" s="26"/>
      <c r="AB15" s="26"/>
      <c r="AC15" s="26"/>
      <c r="AD15" s="26"/>
      <c r="AE15" s="26"/>
      <c r="AF15" s="27"/>
    </row>
    <row r="16" spans="2:32">
      <c r="B16" s="390" t="s">
        <v>475</v>
      </c>
      <c r="C16" s="102">
        <v>0</v>
      </c>
      <c r="D16" s="61"/>
      <c r="E16" s="102">
        <v>0</v>
      </c>
      <c r="F16" s="382"/>
      <c r="G16" s="102">
        <v>0</v>
      </c>
      <c r="H16" s="695"/>
      <c r="I16" s="102">
        <v>0</v>
      </c>
      <c r="J16" s="382"/>
      <c r="K16" s="102">
        <v>0</v>
      </c>
      <c r="L16" s="382"/>
      <c r="M16" s="316"/>
      <c r="N16" s="316"/>
      <c r="O16" s="26"/>
      <c r="P16" s="26"/>
      <c r="Q16" s="26"/>
      <c r="R16" s="26"/>
      <c r="S16" s="26"/>
      <c r="T16" s="26"/>
      <c r="U16" s="26"/>
      <c r="V16" s="26"/>
      <c r="W16" s="26"/>
      <c r="X16" s="26"/>
      <c r="Y16" s="26"/>
      <c r="Z16" s="26"/>
      <c r="AA16" s="26"/>
      <c r="AB16" s="26"/>
      <c r="AC16" s="26"/>
      <c r="AD16" s="26"/>
      <c r="AE16" s="26"/>
      <c r="AF16" s="27"/>
    </row>
    <row r="17" spans="2:32">
      <c r="B17" s="390" t="s">
        <v>476</v>
      </c>
      <c r="C17" s="102">
        <v>0</v>
      </c>
      <c r="D17" s="61"/>
      <c r="E17" s="102">
        <v>0</v>
      </c>
      <c r="F17" s="382"/>
      <c r="G17" s="102">
        <v>0</v>
      </c>
      <c r="H17" s="695"/>
      <c r="I17" s="102">
        <v>0</v>
      </c>
      <c r="J17" s="382"/>
      <c r="K17" s="102">
        <v>0</v>
      </c>
      <c r="L17" s="382"/>
      <c r="M17" s="316"/>
      <c r="N17" s="316"/>
      <c r="O17" s="26"/>
      <c r="P17" s="26"/>
      <c r="Q17" s="26"/>
      <c r="R17" s="26"/>
      <c r="S17" s="26"/>
      <c r="T17" s="26"/>
      <c r="U17" s="26"/>
      <c r="V17" s="26"/>
      <c r="W17" s="26"/>
      <c r="X17" s="26"/>
      <c r="Y17" s="26"/>
      <c r="Z17" s="26"/>
      <c r="AA17" s="26"/>
      <c r="AB17" s="26"/>
      <c r="AC17" s="26"/>
      <c r="AD17" s="26"/>
      <c r="AE17" s="26"/>
      <c r="AF17" s="27"/>
    </row>
    <row r="18" spans="2:32">
      <c r="B18" s="390" t="s">
        <v>477</v>
      </c>
      <c r="C18" s="102">
        <v>0</v>
      </c>
      <c r="D18" s="61" t="str">
        <f>IF(C18&gt;=2,"PASS","FAIL")</f>
        <v>FAIL</v>
      </c>
      <c r="E18" s="102">
        <v>0</v>
      </c>
      <c r="F18" s="382" t="str">
        <f>IF(E18&gt;=2,"PASS","FAIL")</f>
        <v>FAIL</v>
      </c>
      <c r="G18" s="17">
        <v>0</v>
      </c>
      <c r="H18" s="695" t="str">
        <f>IF(G18&gt;=2,"PASS","FAIL")</f>
        <v>FAIL</v>
      </c>
      <c r="I18" s="102">
        <v>0</v>
      </c>
      <c r="J18" s="61" t="str">
        <f>IF(I18&gt;=2,"PASS","FAIL")</f>
        <v>FAIL</v>
      </c>
      <c r="K18" s="102">
        <v>0</v>
      </c>
      <c r="L18" s="61" t="str">
        <f>IF(K18&gt;=2,"PASS","FAIL")</f>
        <v>FAIL</v>
      </c>
      <c r="M18" s="316"/>
      <c r="N18" s="316"/>
      <c r="O18" s="26"/>
      <c r="P18" s="26"/>
      <c r="Q18" s="26"/>
      <c r="R18" s="26"/>
      <c r="S18" s="26"/>
      <c r="T18" s="26"/>
      <c r="U18" s="26"/>
      <c r="V18" s="26"/>
      <c r="W18" s="26"/>
      <c r="X18" s="26"/>
      <c r="Y18" s="26"/>
      <c r="Z18" s="26"/>
      <c r="AA18" s="26"/>
      <c r="AB18" s="26"/>
      <c r="AC18" s="26"/>
      <c r="AD18" s="26"/>
      <c r="AE18" s="26"/>
      <c r="AF18" s="27"/>
    </row>
    <row r="19" spans="2:32">
      <c r="B19" s="390" t="s">
        <v>478</v>
      </c>
      <c r="C19" s="102">
        <v>0</v>
      </c>
      <c r="D19" s="61"/>
      <c r="E19" s="102">
        <v>0</v>
      </c>
      <c r="F19" s="382"/>
      <c r="G19" s="17">
        <v>0</v>
      </c>
      <c r="H19" s="696"/>
      <c r="I19" s="102">
        <v>0</v>
      </c>
      <c r="J19" s="382"/>
      <c r="K19" s="102">
        <v>0</v>
      </c>
      <c r="L19" s="382"/>
      <c r="M19" s="316"/>
      <c r="N19" s="316"/>
      <c r="O19" s="26"/>
      <c r="P19" s="26"/>
      <c r="Q19" s="26"/>
      <c r="R19" s="26"/>
      <c r="S19" s="26"/>
      <c r="T19" s="26"/>
      <c r="U19" s="26"/>
      <c r="V19" s="26"/>
      <c r="W19" s="26"/>
      <c r="X19" s="26"/>
      <c r="Y19" s="26"/>
      <c r="Z19" s="26"/>
      <c r="AA19" s="26"/>
      <c r="AB19" s="26"/>
      <c r="AC19" s="26"/>
      <c r="AD19" s="26"/>
      <c r="AE19" s="26"/>
      <c r="AF19" s="27"/>
    </row>
    <row r="20" spans="2:32">
      <c r="B20" s="390" t="s">
        <v>479</v>
      </c>
      <c r="C20" s="102">
        <v>0</v>
      </c>
      <c r="D20" s="382"/>
      <c r="E20" s="102">
        <v>0</v>
      </c>
      <c r="F20" s="382"/>
      <c r="G20" s="102">
        <v>0</v>
      </c>
      <c r="H20" s="695"/>
      <c r="I20" s="102">
        <v>0</v>
      </c>
      <c r="J20" s="382"/>
      <c r="K20" s="102">
        <v>0</v>
      </c>
      <c r="L20" s="382"/>
      <c r="M20" s="316"/>
      <c r="N20" s="316"/>
      <c r="O20" s="26"/>
      <c r="P20" s="26"/>
      <c r="Q20" s="26"/>
      <c r="R20" s="26"/>
      <c r="S20" s="26"/>
      <c r="T20" s="26"/>
      <c r="U20" s="26"/>
      <c r="V20" s="26"/>
      <c r="W20" s="26"/>
      <c r="X20" s="26"/>
      <c r="Y20" s="26"/>
      <c r="Z20" s="26"/>
      <c r="AA20" s="26"/>
      <c r="AB20" s="26"/>
      <c r="AC20" s="26"/>
      <c r="AD20" s="26"/>
      <c r="AE20" s="26"/>
      <c r="AF20" s="27"/>
    </row>
    <row r="21" spans="2:32">
      <c r="B21" s="390" t="s">
        <v>480</v>
      </c>
      <c r="C21" s="363" t="s">
        <v>178</v>
      </c>
      <c r="D21" s="382"/>
      <c r="E21" s="363" t="s">
        <v>178</v>
      </c>
      <c r="F21" s="382"/>
      <c r="G21" s="363" t="s">
        <v>182</v>
      </c>
      <c r="H21" s="695"/>
      <c r="I21" s="363" t="s">
        <v>178</v>
      </c>
      <c r="J21" s="382"/>
      <c r="K21" s="363" t="s">
        <v>178</v>
      </c>
      <c r="L21" s="382"/>
      <c r="M21" s="392" t="s">
        <v>481</v>
      </c>
      <c r="N21" s="316"/>
      <c r="O21" s="392"/>
      <c r="P21" s="26"/>
      <c r="Q21" s="26"/>
      <c r="R21" s="26"/>
      <c r="S21" s="26"/>
      <c r="T21" s="26"/>
      <c r="U21" s="26"/>
      <c r="V21" s="26"/>
      <c r="W21" s="26"/>
      <c r="X21" s="26"/>
      <c r="Y21" s="26"/>
      <c r="Z21" s="26"/>
      <c r="AA21" s="26"/>
      <c r="AB21" s="26"/>
      <c r="AC21" s="26"/>
      <c r="AD21" s="26"/>
      <c r="AE21" s="26"/>
      <c r="AF21" s="27"/>
    </row>
    <row r="22" spans="2:32">
      <c r="B22" s="390" t="s">
        <v>482</v>
      </c>
      <c r="C22" s="205" t="str">
        <f>HLOOKUP(C21,MaterialData!$C$3:$O$4,2,FALSE)</f>
        <v>T3.5_Laminate</v>
      </c>
      <c r="D22" s="382"/>
      <c r="E22" s="205" t="str">
        <f>HLOOKUP(E21,MaterialData!$C$3:$O$4,2,FALSE)</f>
        <v>T3.5_Laminate</v>
      </c>
      <c r="F22" s="382"/>
      <c r="G22" s="205">
        <f>HLOOKUP(G21,MaterialData!$C$3:$O$4,2,FALSE)</f>
        <v>0</v>
      </c>
      <c r="H22" s="695"/>
      <c r="I22" s="205" t="str">
        <f>HLOOKUP(I21,MaterialData!$C$3:$O$4,2,FALSE)</f>
        <v>T3.5_Laminate</v>
      </c>
      <c r="J22" s="382"/>
      <c r="K22" s="205" t="str">
        <f>HLOOKUP(K21,MaterialData!$C$3:$O$4,2,FALSE)</f>
        <v>T3.5_Laminate</v>
      </c>
      <c r="L22" s="382"/>
      <c r="M22" s="392"/>
      <c r="N22" s="316"/>
      <c r="O22" s="392"/>
      <c r="P22" s="26"/>
      <c r="Q22" s="26"/>
      <c r="R22" s="26"/>
      <c r="S22" s="26"/>
      <c r="T22" s="26"/>
      <c r="U22" s="26"/>
      <c r="V22" s="26"/>
      <c r="W22" s="26"/>
      <c r="X22" s="26"/>
      <c r="Y22" s="26"/>
      <c r="Z22" s="26"/>
      <c r="AA22" s="26"/>
      <c r="AB22" s="26"/>
      <c r="AC22" s="26"/>
      <c r="AD22" s="26"/>
      <c r="AE22" s="26"/>
      <c r="AF22" s="27"/>
    </row>
    <row r="23" spans="2:32">
      <c r="B23" s="390" t="s">
        <v>483</v>
      </c>
      <c r="C23" s="841">
        <f>'T3.5.9 Shear Tests'!$W$54</f>
        <v>0</v>
      </c>
      <c r="D23" s="382"/>
      <c r="E23" s="841">
        <f>'T3.5.9 Shear Tests'!$W$54</f>
        <v>0</v>
      </c>
      <c r="F23" s="382"/>
      <c r="G23" s="841">
        <v>0</v>
      </c>
      <c r="H23" s="695"/>
      <c r="I23" s="841">
        <f>'T3.5.9 Shear Tests'!$W$54</f>
        <v>0</v>
      </c>
      <c r="J23" s="382"/>
      <c r="K23" s="841">
        <f>'T3.5.9 Shear Tests'!$W$54</f>
        <v>0</v>
      </c>
      <c r="L23" s="382"/>
      <c r="M23" s="392" t="s">
        <v>484</v>
      </c>
      <c r="N23" s="316"/>
      <c r="O23" s="392"/>
      <c r="P23" s="26"/>
      <c r="Q23" s="26"/>
      <c r="R23" s="26"/>
      <c r="S23" s="26"/>
      <c r="T23" s="26"/>
      <c r="U23" s="26"/>
      <c r="V23" s="26"/>
      <c r="W23" s="26"/>
      <c r="X23" s="26"/>
      <c r="Y23" s="26"/>
      <c r="Z23" s="26"/>
      <c r="AA23" s="26"/>
      <c r="AB23" s="26"/>
      <c r="AC23" s="26"/>
      <c r="AD23" s="26"/>
      <c r="AE23" s="26"/>
      <c r="AF23" s="27"/>
    </row>
    <row r="24" spans="2:32" ht="13.15">
      <c r="B24" s="390" t="s">
        <v>485</v>
      </c>
      <c r="C24" s="796">
        <v>1</v>
      </c>
      <c r="D24" s="843" t="str">
        <f>IF(C24&lt;0.4*C25,"FAIL, see T3.4.4","")</f>
        <v/>
      </c>
      <c r="E24" s="796">
        <v>1</v>
      </c>
      <c r="F24" s="843" t="str">
        <f>IF(E24&lt;0.4*E25,"FAIL, see T3.4.4","")</f>
        <v/>
      </c>
      <c r="G24" s="796">
        <v>1</v>
      </c>
      <c r="H24" s="843" t="str">
        <f>IF(G24&lt;0.4*G25,"FAIL, see T3.4.4","")</f>
        <v/>
      </c>
      <c r="I24" s="796">
        <v>1</v>
      </c>
      <c r="J24" s="843" t="str">
        <f>IF(I24&lt;0.4*I25,"FAIL, see T3.4.4","")</f>
        <v/>
      </c>
      <c r="K24" s="796">
        <v>1</v>
      </c>
      <c r="L24" s="839" t="str">
        <f>IF(K24&lt;0.4*K25,"FAIL, see T3.4.4","")</f>
        <v/>
      </c>
      <c r="M24" s="392" t="s">
        <v>486</v>
      </c>
      <c r="N24" s="316"/>
      <c r="O24" s="392"/>
      <c r="P24" s="26"/>
      <c r="Q24" s="26"/>
      <c r="R24" s="26"/>
      <c r="S24" s="26"/>
      <c r="T24" s="26"/>
      <c r="U24" s="26"/>
      <c r="V24" s="26"/>
      <c r="W24" s="26"/>
      <c r="X24" s="26"/>
      <c r="Y24" s="26"/>
      <c r="Z24" s="26"/>
      <c r="AA24" s="26"/>
      <c r="AB24" s="26"/>
      <c r="AC24" s="26"/>
      <c r="AD24" s="26"/>
      <c r="AE24" s="26"/>
      <c r="AF24" s="27"/>
    </row>
    <row r="25" spans="2:32" ht="13.15">
      <c r="B25" s="390" t="s">
        <v>485</v>
      </c>
      <c r="C25" s="796">
        <v>1</v>
      </c>
      <c r="D25" s="840" t="str">
        <f>IF(C25&lt;0.4*C24,"FAIL, see T3.4.4","")</f>
        <v/>
      </c>
      <c r="E25" s="796">
        <v>1</v>
      </c>
      <c r="F25" s="843" t="str">
        <f>IF(E25&lt;0.4*E24,"FAIL, see T3.4.4","")</f>
        <v/>
      </c>
      <c r="G25" s="796">
        <v>1</v>
      </c>
      <c r="H25" s="843" t="str">
        <f>IF(G25&lt;0.4*G24,"FAIL, see T3.4.4","")</f>
        <v/>
      </c>
      <c r="I25" s="796">
        <v>1</v>
      </c>
      <c r="J25" s="843" t="str">
        <f>IF(I25&lt;0.4*I24,"FAIL, see T3.4.4","")</f>
        <v/>
      </c>
      <c r="K25" s="796">
        <v>1</v>
      </c>
      <c r="L25" s="839" t="str">
        <f>IF(K25&lt;0.4*K24,"FAIL, see T3.4.4","")</f>
        <v/>
      </c>
      <c r="M25" s="392" t="s">
        <v>486</v>
      </c>
      <c r="N25" s="316"/>
      <c r="O25" s="392"/>
      <c r="P25" s="26"/>
      <c r="Q25" s="26"/>
      <c r="R25" s="26"/>
      <c r="S25" s="26"/>
      <c r="T25" s="26"/>
      <c r="U25" s="26"/>
      <c r="V25" s="26"/>
      <c r="W25" s="26"/>
      <c r="X25" s="26"/>
      <c r="Y25" s="26"/>
      <c r="Z25" s="26"/>
      <c r="AA25" s="26"/>
      <c r="AB25" s="26"/>
      <c r="AC25" s="26"/>
      <c r="AD25" s="26"/>
      <c r="AE25" s="26"/>
      <c r="AF25" s="27"/>
    </row>
    <row r="26" spans="2:32">
      <c r="B26" s="390" t="s">
        <v>487</v>
      </c>
      <c r="C26" s="62">
        <f>((C16*C24)+(C17*C25))*C23*0.001</f>
        <v>0</v>
      </c>
      <c r="D26" s="61" t="str">
        <f>IF(C26&gt;=30,"PASS","FAIL")</f>
        <v>FAIL</v>
      </c>
      <c r="E26" s="842">
        <f>((E16*E24)+(E17*E25))*E23*0.001</f>
        <v>0</v>
      </c>
      <c r="F26" s="382" t="str">
        <f>IF(E26&gt;=30,"PASS","FAIL")</f>
        <v>FAIL</v>
      </c>
      <c r="G26" s="842">
        <f>((G16*G24)+(G17*G25))*G23*0.001</f>
        <v>0</v>
      </c>
      <c r="H26" s="695" t="str">
        <f>IF(G26&gt;=30,"PASS","FAIL")</f>
        <v>FAIL</v>
      </c>
      <c r="I26" s="842">
        <f>((I16*I24)+(I17*I25))*I23*0.001</f>
        <v>0</v>
      </c>
      <c r="J26" s="382" t="str">
        <f>IF(I26&gt;=30,"PASS","FAIL")</f>
        <v>FAIL</v>
      </c>
      <c r="K26" s="842">
        <f>((K16*K24)+(K17*K25))*K23*0.001</f>
        <v>0</v>
      </c>
      <c r="L26" s="382" t="str">
        <f>IF(K26&gt;=30,"PASS","FAIL")</f>
        <v>FAIL</v>
      </c>
      <c r="M26" s="316"/>
      <c r="N26" s="316"/>
      <c r="O26" s="26"/>
      <c r="P26" s="26"/>
      <c r="Q26" s="26"/>
      <c r="R26" s="26"/>
      <c r="S26" s="26"/>
      <c r="T26" s="26"/>
      <c r="U26" s="26"/>
      <c r="V26" s="26"/>
      <c r="W26" s="26"/>
      <c r="X26" s="26"/>
      <c r="Y26" s="26"/>
      <c r="Z26" s="26"/>
      <c r="AA26" s="26"/>
      <c r="AB26" s="26"/>
      <c r="AC26" s="26"/>
      <c r="AD26" s="26"/>
      <c r="AE26" s="26"/>
      <c r="AF26" s="27"/>
    </row>
    <row r="27" spans="2:32">
      <c r="B27" s="39" t="s">
        <v>487</v>
      </c>
      <c r="C27" s="62">
        <f>((C24*C17)+(C25*C19))*C23*0.001</f>
        <v>0</v>
      </c>
      <c r="D27" s="61" t="str">
        <f>IF(C27&gt;=30,"PASS","FAIL")</f>
        <v>FAIL</v>
      </c>
      <c r="E27" s="205">
        <f>((E24*E17)+(E25*E19))*E23*0.001</f>
        <v>0</v>
      </c>
      <c r="F27" s="382" t="str">
        <f>IF(E27&gt;=30,"PASS","FAIL")</f>
        <v>FAIL</v>
      </c>
      <c r="G27" s="205">
        <f>((G24*G17)+(G25*G19))*G23*0.001</f>
        <v>0</v>
      </c>
      <c r="H27" s="695" t="str">
        <f>IF(G27&gt;=30,"PASS","FAIL")</f>
        <v>FAIL</v>
      </c>
      <c r="I27" s="205">
        <f>((I24*I17)+(I25*I19))*I23*0.001</f>
        <v>0</v>
      </c>
      <c r="J27" s="382" t="str">
        <f>IF(I27&gt;=30,"PASS","FAIL")</f>
        <v>FAIL</v>
      </c>
      <c r="K27" s="205">
        <f>((K24*K17)+(K25*K19))*K23*0.001</f>
        <v>0</v>
      </c>
      <c r="L27" s="382" t="str">
        <f>IF(K27&gt;=30,"PASS","FAIL")</f>
        <v>FAIL</v>
      </c>
      <c r="M27" s="316"/>
      <c r="N27" s="316"/>
      <c r="O27" s="26"/>
      <c r="P27" s="26"/>
      <c r="Q27" s="26"/>
      <c r="R27" s="26"/>
      <c r="S27" s="26"/>
      <c r="T27" s="26"/>
      <c r="U27" s="26"/>
      <c r="V27" s="26"/>
      <c r="W27" s="26"/>
      <c r="X27" s="26"/>
      <c r="Y27" s="26"/>
      <c r="Z27" s="26"/>
      <c r="AA27" s="26"/>
      <c r="AB27" s="26"/>
      <c r="AC27" s="26"/>
      <c r="AD27" s="26"/>
      <c r="AE27" s="26"/>
      <c r="AF27" s="27"/>
    </row>
    <row r="28" spans="2:32">
      <c r="B28" s="67" t="s">
        <v>488</v>
      </c>
      <c r="C28" s="693">
        <f>C23*2*C20*(C24+C25)*0.001</f>
        <v>0</v>
      </c>
      <c r="D28" s="60" t="str">
        <f>IF(C28&gt;=30,"PASS","FAIL")</f>
        <v>FAIL</v>
      </c>
      <c r="E28" s="693">
        <f>E23*2*E20*(E24+E25)*0.001</f>
        <v>0</v>
      </c>
      <c r="F28" s="59" t="str">
        <f>IF(E28&gt;=30,"PASS","FAIL")</f>
        <v>FAIL</v>
      </c>
      <c r="G28" s="693">
        <f>G23*2*G20*(G24+G25)*0.001</f>
        <v>0</v>
      </c>
      <c r="H28" s="699" t="str">
        <f>IF(G28&gt;=30,"PASS","FAIL")</f>
        <v>FAIL</v>
      </c>
      <c r="I28" s="693">
        <f>I23*2*I20*(I24+I25)*0.001</f>
        <v>0</v>
      </c>
      <c r="J28" s="59" t="str">
        <f>IF(I28&gt;=30,"PASS","FAIL")</f>
        <v>FAIL</v>
      </c>
      <c r="K28" s="693">
        <f>K23*2*K20*(K24+K25)*0.001</f>
        <v>0</v>
      </c>
      <c r="L28" s="59" t="str">
        <f>IF(K28&gt;=30,"PASS","FAIL")</f>
        <v>FAIL</v>
      </c>
      <c r="M28" s="316"/>
      <c r="N28" s="316"/>
      <c r="O28" s="26"/>
      <c r="P28" s="26"/>
      <c r="Q28" s="26"/>
      <c r="R28" s="26"/>
      <c r="S28" s="26"/>
      <c r="T28" s="26"/>
      <c r="U28" s="26"/>
      <c r="V28" s="26"/>
      <c r="W28" s="26"/>
      <c r="X28" s="26"/>
      <c r="Y28" s="26"/>
      <c r="Z28" s="26"/>
      <c r="AA28" s="26"/>
      <c r="AB28" s="26"/>
      <c r="AC28" s="26"/>
      <c r="AD28" s="26"/>
      <c r="AE28" s="26"/>
      <c r="AF28" s="27"/>
    </row>
    <row r="29" spans="2:32" ht="12.75" customHeight="1">
      <c r="B29" s="1279" t="s">
        <v>489</v>
      </c>
      <c r="C29" s="1280"/>
      <c r="D29" s="1280"/>
      <c r="E29" s="1280"/>
      <c r="F29" s="1280"/>
      <c r="G29" s="1280"/>
      <c r="H29" s="1280"/>
      <c r="I29" s="1280"/>
      <c r="J29" s="1280"/>
      <c r="K29" s="1280"/>
      <c r="L29" s="1281"/>
      <c r="M29" s="316"/>
      <c r="N29" s="316"/>
      <c r="O29" s="26"/>
      <c r="P29" s="26"/>
      <c r="Q29" s="26"/>
      <c r="R29" s="26"/>
      <c r="S29" s="26"/>
      <c r="T29" s="26"/>
      <c r="U29" s="26"/>
      <c r="V29" s="26"/>
      <c r="W29" s="26"/>
      <c r="X29" s="26"/>
      <c r="Y29" s="26"/>
      <c r="Z29" s="26"/>
      <c r="AA29" s="26"/>
      <c r="AB29" s="26"/>
      <c r="AC29" s="26"/>
      <c r="AD29" s="26"/>
      <c r="AE29" s="26"/>
      <c r="AF29" s="27"/>
    </row>
    <row r="30" spans="2:32">
      <c r="B30" s="1282"/>
      <c r="C30" s="1283"/>
      <c r="D30" s="1283"/>
      <c r="E30" s="1283"/>
      <c r="F30" s="1283"/>
      <c r="G30" s="1283"/>
      <c r="H30" s="1283"/>
      <c r="I30" s="1283"/>
      <c r="J30" s="1283"/>
      <c r="K30" s="1283"/>
      <c r="L30" s="1284"/>
      <c r="M30" s="316"/>
      <c r="N30" s="698"/>
      <c r="O30" s="26"/>
      <c r="P30" s="26"/>
      <c r="Q30" s="26"/>
      <c r="R30" s="26"/>
      <c r="S30" s="26"/>
      <c r="T30" s="26"/>
      <c r="U30" s="26"/>
      <c r="V30" s="26"/>
      <c r="W30" s="26"/>
      <c r="X30" s="26"/>
      <c r="Y30" s="26"/>
      <c r="Z30" s="26"/>
      <c r="AA30" s="26"/>
      <c r="AB30" s="26"/>
      <c r="AC30" s="26"/>
      <c r="AD30" s="26"/>
      <c r="AE30" s="26"/>
      <c r="AF30" s="27"/>
    </row>
    <row r="31" spans="2:32">
      <c r="B31" s="1285"/>
      <c r="C31" s="1286"/>
      <c r="D31" s="1286"/>
      <c r="E31" s="1286"/>
      <c r="F31" s="1286"/>
      <c r="G31" s="1286"/>
      <c r="H31" s="1286"/>
      <c r="I31" s="1286"/>
      <c r="J31" s="1286"/>
      <c r="K31" s="1286"/>
      <c r="L31" s="1287"/>
      <c r="M31" s="26"/>
      <c r="N31" s="698"/>
      <c r="O31" s="26"/>
      <c r="P31" s="26"/>
      <c r="Q31" s="26"/>
      <c r="R31" s="26"/>
      <c r="S31" s="26"/>
      <c r="T31" s="26"/>
      <c r="U31" s="26"/>
      <c r="V31" s="26"/>
      <c r="W31" s="26"/>
      <c r="X31" s="26"/>
      <c r="Y31" s="26"/>
      <c r="Z31" s="26"/>
      <c r="AA31" s="26"/>
      <c r="AB31" s="26"/>
      <c r="AC31" s="26"/>
      <c r="AD31" s="26"/>
      <c r="AE31" s="26"/>
      <c r="AF31" s="27"/>
    </row>
    <row r="32" spans="2:32" s="104" customFormat="1">
      <c r="B32" s="248" t="s">
        <v>490</v>
      </c>
      <c r="C32" s="26"/>
      <c r="D32" s="26"/>
      <c r="E32" s="26"/>
      <c r="F32" s="26"/>
      <c r="G32" s="318"/>
      <c r="H32" s="318"/>
      <c r="I32" s="26"/>
      <c r="J32" s="26"/>
      <c r="K32" s="26"/>
      <c r="L32" s="26"/>
      <c r="M32" s="26"/>
      <c r="N32" s="318"/>
      <c r="O32" s="26"/>
      <c r="P32" s="26"/>
      <c r="Q32" s="26"/>
      <c r="R32" s="26"/>
      <c r="S32" s="26"/>
      <c r="T32" s="26"/>
      <c r="U32" s="26"/>
      <c r="V32" s="26"/>
      <c r="W32" s="26"/>
      <c r="X32" s="26"/>
      <c r="Y32" s="26"/>
      <c r="Z32" s="26"/>
      <c r="AA32" s="26"/>
      <c r="AB32" s="26"/>
      <c r="AC32" s="26"/>
      <c r="AD32" s="26"/>
      <c r="AE32" s="26"/>
      <c r="AF32" s="27"/>
    </row>
    <row r="33" spans="2:32" s="104" customFormat="1">
      <c r="B33" s="248"/>
      <c r="C33" s="26"/>
      <c r="D33" s="26"/>
      <c r="E33" s="26"/>
      <c r="F33" s="26"/>
      <c r="G33" s="318"/>
      <c r="H33" s="318"/>
      <c r="I33" s="26"/>
      <c r="J33" s="26"/>
      <c r="K33" s="26"/>
      <c r="L33" s="26"/>
      <c r="M33" s="26"/>
      <c r="N33" s="698"/>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18"/>
      <c r="H34" s="318"/>
      <c r="I34" s="26"/>
      <c r="J34" s="26"/>
      <c r="K34" s="26"/>
      <c r="L34" s="26"/>
      <c r="M34" s="26"/>
      <c r="N34" s="698"/>
      <c r="O34" s="26"/>
      <c r="P34" s="26"/>
      <c r="Q34" s="26"/>
      <c r="R34" s="26"/>
      <c r="S34" s="26"/>
      <c r="T34" s="26"/>
      <c r="U34" s="26"/>
      <c r="V34" s="26"/>
      <c r="W34" s="26"/>
      <c r="X34" s="26"/>
      <c r="Y34" s="26"/>
      <c r="Z34" s="26"/>
      <c r="AA34" s="26"/>
      <c r="AB34" s="26"/>
      <c r="AC34" s="26"/>
      <c r="AD34" s="26"/>
      <c r="AE34" s="26"/>
      <c r="AF34" s="27"/>
    </row>
    <row r="35" spans="2:32" s="104" customFormat="1">
      <c r="B35" s="369"/>
      <c r="C35" s="26"/>
      <c r="D35" s="26"/>
      <c r="E35" s="26"/>
      <c r="F35" s="26"/>
      <c r="G35" s="318"/>
      <c r="H35" s="318"/>
      <c r="I35" s="26"/>
      <c r="J35" s="26"/>
      <c r="K35" s="26"/>
      <c r="L35" s="26"/>
      <c r="M35" s="26"/>
      <c r="N35" s="318"/>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18"/>
      <c r="H36" s="318"/>
      <c r="I36" s="26"/>
      <c r="J36" s="26"/>
      <c r="K36" s="26"/>
      <c r="L36" s="26"/>
      <c r="M36" s="26"/>
      <c r="N36" s="318"/>
      <c r="O36" s="26"/>
      <c r="P36" s="26"/>
      <c r="Q36" s="26"/>
      <c r="R36" s="26"/>
      <c r="S36" s="26"/>
      <c r="T36" s="26"/>
      <c r="U36" s="26"/>
      <c r="V36" s="26"/>
      <c r="W36" s="26"/>
      <c r="X36" s="26"/>
      <c r="Y36" s="26"/>
      <c r="Z36" s="26"/>
      <c r="AA36" s="26"/>
      <c r="AB36" s="26"/>
      <c r="AC36" s="26"/>
      <c r="AD36" s="26"/>
      <c r="AE36" s="26"/>
      <c r="AF36" s="27"/>
    </row>
    <row r="37" spans="2:32" s="104" customFormat="1">
      <c r="B37" s="369"/>
      <c r="C37" s="26"/>
      <c r="D37" s="26"/>
      <c r="E37" s="26"/>
      <c r="F37" s="26"/>
      <c r="G37" s="318"/>
      <c r="H37" s="318"/>
      <c r="I37" s="26"/>
      <c r="J37" s="26"/>
      <c r="K37" s="26"/>
      <c r="L37" s="26"/>
      <c r="M37" s="26"/>
      <c r="N37" s="318"/>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18"/>
      <c r="H38" s="318"/>
      <c r="I38" s="26"/>
      <c r="J38" s="26"/>
      <c r="K38" s="26"/>
      <c r="L38" s="26"/>
      <c r="M38" s="26"/>
      <c r="N38" s="318"/>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18"/>
      <c r="H39" s="318"/>
      <c r="I39" s="26"/>
      <c r="J39" s="26"/>
      <c r="K39" s="26"/>
      <c r="L39" s="26"/>
      <c r="M39" s="26"/>
      <c r="N39" s="318"/>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18"/>
      <c r="H40" s="318"/>
      <c r="I40" s="26"/>
      <c r="J40" s="26"/>
      <c r="K40" s="26"/>
      <c r="L40" s="26"/>
      <c r="M40" s="26"/>
      <c r="N40" s="318"/>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18"/>
      <c r="H41" s="318"/>
      <c r="I41" s="26"/>
      <c r="J41" s="26"/>
      <c r="K41" s="26"/>
      <c r="L41" s="26"/>
      <c r="M41" s="26"/>
      <c r="N41" s="318"/>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18"/>
      <c r="H42" s="318"/>
      <c r="I42" s="26"/>
      <c r="J42" s="26"/>
      <c r="K42" s="26"/>
      <c r="L42" s="26"/>
      <c r="M42" s="26"/>
      <c r="N42" s="318"/>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18"/>
      <c r="H43" s="318"/>
      <c r="I43" s="26"/>
      <c r="J43" s="26"/>
      <c r="K43" s="26"/>
      <c r="L43" s="26"/>
      <c r="M43" s="26"/>
      <c r="N43" s="318"/>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18"/>
      <c r="H44" s="318"/>
      <c r="I44" s="26"/>
      <c r="J44" s="26"/>
      <c r="K44" s="26"/>
      <c r="L44" s="26"/>
      <c r="M44" s="26"/>
      <c r="N44" s="318"/>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18"/>
      <c r="H45" s="318"/>
      <c r="I45" s="26"/>
      <c r="J45" s="26"/>
      <c r="K45" s="26"/>
      <c r="L45" s="26"/>
      <c r="M45" s="26"/>
      <c r="N45" s="318"/>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18"/>
      <c r="H46" s="318"/>
      <c r="I46" s="26"/>
      <c r="J46" s="26"/>
      <c r="K46" s="26"/>
      <c r="L46" s="26"/>
      <c r="M46" s="26"/>
      <c r="N46" s="318"/>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18"/>
      <c r="H47" s="318"/>
      <c r="I47" s="26"/>
      <c r="J47" s="26"/>
      <c r="K47" s="26"/>
      <c r="L47" s="26"/>
      <c r="M47" s="26"/>
      <c r="N47" s="318"/>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18"/>
      <c r="H48" s="318"/>
      <c r="I48" s="26"/>
      <c r="J48" s="26"/>
      <c r="K48" s="26"/>
      <c r="L48" s="26"/>
      <c r="M48" s="26"/>
      <c r="N48" s="318"/>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18"/>
      <c r="H49" s="318"/>
      <c r="I49" s="26"/>
      <c r="J49" s="26"/>
      <c r="K49" s="26"/>
      <c r="L49" s="26"/>
      <c r="M49" s="26"/>
      <c r="N49" s="318"/>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18"/>
      <c r="H50" s="318"/>
      <c r="I50" s="26"/>
      <c r="J50" s="26"/>
      <c r="K50" s="26"/>
      <c r="L50" s="26"/>
      <c r="M50" s="26"/>
      <c r="N50" s="318"/>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18"/>
      <c r="H51" s="318"/>
      <c r="I51" s="26"/>
      <c r="J51" s="26"/>
      <c r="K51" s="26"/>
      <c r="L51" s="26"/>
      <c r="M51" s="26"/>
      <c r="N51" s="318"/>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18"/>
      <c r="H52" s="318"/>
      <c r="I52" s="26"/>
      <c r="J52" s="26"/>
      <c r="K52" s="26"/>
      <c r="L52" s="26"/>
      <c r="M52" s="26"/>
      <c r="N52" s="318"/>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18"/>
      <c r="H53" s="318"/>
      <c r="I53" s="26"/>
      <c r="J53" s="26"/>
      <c r="K53" s="26"/>
      <c r="L53" s="26"/>
      <c r="M53" s="26"/>
      <c r="N53" s="318"/>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18"/>
      <c r="H54" s="318"/>
      <c r="I54" s="26"/>
      <c r="J54" s="26"/>
      <c r="K54" s="26"/>
      <c r="L54" s="26"/>
      <c r="M54" s="26"/>
      <c r="N54" s="318"/>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18"/>
      <c r="H55" s="318"/>
      <c r="I55" s="26"/>
      <c r="J55" s="26"/>
      <c r="K55" s="26"/>
      <c r="L55" s="26"/>
      <c r="M55" s="26"/>
      <c r="N55" s="318"/>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18"/>
      <c r="H56" s="318"/>
      <c r="I56" s="26"/>
      <c r="J56" s="26"/>
      <c r="K56" s="26"/>
      <c r="L56" s="26"/>
      <c r="M56" s="26"/>
      <c r="N56" s="318"/>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18"/>
      <c r="H57" s="318"/>
      <c r="I57" s="26"/>
      <c r="J57" s="26"/>
      <c r="K57" s="26"/>
      <c r="L57" s="26"/>
      <c r="M57" s="26"/>
      <c r="N57" s="318"/>
      <c r="O57" s="26"/>
      <c r="P57" s="26"/>
      <c r="Q57" s="26"/>
      <c r="R57" s="26"/>
      <c r="S57" s="26"/>
      <c r="T57" s="26"/>
      <c r="U57" s="26"/>
      <c r="V57" s="26"/>
      <c r="W57" s="26"/>
      <c r="X57" s="26"/>
      <c r="Y57" s="26"/>
      <c r="Z57" s="26"/>
      <c r="AA57" s="26"/>
      <c r="AB57" s="26"/>
      <c r="AC57" s="26"/>
      <c r="AD57" s="26"/>
      <c r="AE57" s="26"/>
      <c r="AF57" s="27"/>
    </row>
    <row r="58" spans="2:32" s="104" customFormat="1">
      <c r="B58" s="724"/>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643"/>
    </row>
    <row r="59" spans="2:32" s="104" customFormat="1">
      <c r="B59" s="724"/>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318"/>
      <c r="AF59" s="643"/>
    </row>
    <row r="60" spans="2:32" s="104" customFormat="1">
      <c r="B60" s="724"/>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643"/>
    </row>
    <row r="61" spans="2:32" s="104" customFormat="1">
      <c r="B61" s="724"/>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318"/>
      <c r="AF61" s="643"/>
    </row>
    <row r="62" spans="2:32" s="104" customFormat="1">
      <c r="B62" s="724"/>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318"/>
      <c r="AF62" s="643"/>
    </row>
    <row r="63" spans="2:32" s="104" customFormat="1">
      <c r="B63" s="724"/>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318"/>
      <c r="AF63" s="643"/>
    </row>
    <row r="64" spans="2:32" s="104" customFormat="1">
      <c r="B64" s="724"/>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318"/>
      <c r="AF64" s="643"/>
    </row>
    <row r="65" spans="2:32" s="104" customFormat="1">
      <c r="B65" s="724"/>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318"/>
      <c r="AF65" s="643"/>
    </row>
    <row r="66" spans="2:32" s="104" customFormat="1">
      <c r="B66" s="72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643"/>
    </row>
    <row r="67" spans="2:32" s="104" customFormat="1">
      <c r="B67" s="724"/>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318"/>
      <c r="AF67" s="643"/>
    </row>
    <row r="68" spans="2:32" s="104" customFormat="1">
      <c r="B68" s="724"/>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643"/>
    </row>
    <row r="69" spans="2:32" s="104" customFormat="1">
      <c r="B69" s="724"/>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318"/>
      <c r="AF69" s="643"/>
    </row>
    <row r="70" spans="2:32" s="104" customFormat="1">
      <c r="B70" s="724"/>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318"/>
      <c r="AF70" s="643"/>
    </row>
    <row r="71" spans="2:32" s="104" customFormat="1">
      <c r="B71" s="724"/>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318"/>
      <c r="AF71" s="643"/>
    </row>
    <row r="72" spans="2:32" s="104" customFormat="1">
      <c r="B72" s="724"/>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318"/>
      <c r="AF72" s="643"/>
    </row>
    <row r="73" spans="2:32" s="104" customFormat="1">
      <c r="B73" s="724"/>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318"/>
      <c r="AF73" s="643"/>
    </row>
    <row r="74" spans="2:32" s="104" customFormat="1">
      <c r="B74" s="724"/>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643"/>
    </row>
    <row r="75" spans="2:32" s="104" customFormat="1">
      <c r="B75" s="724"/>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318"/>
      <c r="AF75" s="643"/>
    </row>
    <row r="76" spans="2:32" s="104" customFormat="1">
      <c r="B76" s="724"/>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318"/>
      <c r="AF76" s="643"/>
    </row>
    <row r="77" spans="2:32" s="104" customFormat="1">
      <c r="B77" s="724"/>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318"/>
      <c r="AF77" s="643"/>
    </row>
    <row r="78" spans="2:32" s="104" customFormat="1">
      <c r="B78" s="724"/>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318"/>
      <c r="AF78" s="643"/>
    </row>
    <row r="79" spans="2:32" s="104" customFormat="1">
      <c r="B79" s="724"/>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643"/>
    </row>
    <row r="80" spans="2:32" s="104" customFormat="1">
      <c r="B80" s="724"/>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318"/>
      <c r="AF80" s="643"/>
    </row>
    <row r="81" spans="2:32" s="104" customFormat="1">
      <c r="B81" s="724"/>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318"/>
      <c r="AF81" s="643"/>
    </row>
    <row r="82" spans="2:32" s="104" customFormat="1">
      <c r="B82" s="724"/>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318"/>
      <c r="AF82" s="643"/>
    </row>
    <row r="83" spans="2:32" s="104" customFormat="1">
      <c r="B83" s="724"/>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318"/>
      <c r="AF83" s="643"/>
    </row>
    <row r="84" spans="2:32" s="104" customFormat="1">
      <c r="B84" s="724"/>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318"/>
      <c r="AF84" s="643"/>
    </row>
    <row r="85" spans="2:32" s="104" customFormat="1">
      <c r="B85" s="724"/>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318"/>
      <c r="AF85" s="643"/>
    </row>
    <row r="86" spans="2:32" s="104" customFormat="1">
      <c r="B86" s="724"/>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318"/>
      <c r="AF86" s="643"/>
    </row>
    <row r="87" spans="2:32" s="104" customFormat="1">
      <c r="B87" s="724"/>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318"/>
      <c r="AF87" s="643"/>
    </row>
    <row r="88" spans="2:32" s="104" customFormat="1">
      <c r="B88" s="724"/>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318"/>
      <c r="AF88" s="643"/>
    </row>
    <row r="89" spans="2:32" s="104" customFormat="1">
      <c r="B89" s="724"/>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318"/>
      <c r="AF89" s="643"/>
    </row>
    <row r="90" spans="2:32" s="104" customFormat="1">
      <c r="B90" s="724"/>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643"/>
    </row>
    <row r="91" spans="2:32" s="104" customFormat="1">
      <c r="B91" s="724"/>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318"/>
      <c r="AF91" s="643"/>
    </row>
    <row r="92" spans="2:32" s="104" customFormat="1">
      <c r="B92" s="724"/>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318"/>
      <c r="AF92" s="643"/>
    </row>
    <row r="93" spans="2:32" s="104" customFormat="1">
      <c r="B93" s="724"/>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318"/>
      <c r="AF93" s="643"/>
    </row>
    <row r="94" spans="2:32" s="104" customFormat="1">
      <c r="B94" s="724"/>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318"/>
      <c r="AF94" s="643"/>
    </row>
    <row r="95" spans="2:32" s="104" customFormat="1">
      <c r="B95" s="724"/>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318"/>
      <c r="AF95" s="643"/>
    </row>
    <row r="96" spans="2:32" s="104" customFormat="1">
      <c r="B96" s="724"/>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318"/>
      <c r="AF96" s="643"/>
    </row>
    <row r="97" spans="2:32" s="104" customFormat="1">
      <c r="B97" s="724"/>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318"/>
      <c r="AF97" s="643"/>
    </row>
    <row r="98" spans="2:32" s="104" customFormat="1">
      <c r="B98" s="724"/>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318"/>
      <c r="AF98" s="643"/>
    </row>
    <row r="99" spans="2:32" s="104" customFormat="1">
      <c r="B99" s="724"/>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318"/>
      <c r="AF99" s="643"/>
    </row>
    <row r="100" spans="2:32" s="104" customFormat="1">
      <c r="B100" s="739"/>
      <c r="C100" s="700"/>
      <c r="D100" s="700"/>
      <c r="E100" s="700"/>
      <c r="F100" s="700"/>
      <c r="G100" s="700"/>
      <c r="H100" s="700"/>
      <c r="I100" s="700"/>
      <c r="J100" s="700"/>
      <c r="K100" s="700"/>
      <c r="L100" s="700"/>
      <c r="M100" s="700"/>
      <c r="N100" s="700"/>
      <c r="O100" s="700"/>
      <c r="P100" s="700"/>
      <c r="Q100" s="700"/>
      <c r="R100" s="700"/>
      <c r="S100" s="700"/>
      <c r="T100" s="700"/>
      <c r="U100" s="700"/>
      <c r="V100" s="700"/>
      <c r="W100" s="700"/>
      <c r="X100" s="700"/>
      <c r="Y100" s="700"/>
      <c r="Z100" s="700"/>
      <c r="AA100" s="700"/>
      <c r="AB100" s="700"/>
      <c r="AC100" s="700"/>
      <c r="AD100" s="700"/>
      <c r="AE100" s="700"/>
      <c r="AF100" s="740"/>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rNAAGW+XMGRDXGG4o42jsIi4z/dLzpFh+BlgvxNy/eMG5esS8t9q6RpxZ4ktcb565/Hf7k3sPRIgqdKHAk50g==" saltValue="+WK86ILabFtIl3GHQDkqYQ==" spinCount="100000" sheet="1" scenarios="1" insertHyperlinks="0"/>
  <protectedRanges>
    <protectedRange sqref="C3:C4 C10:C11 C14:C21 C23:C25 E10:E12 E14:E21 G10:G11 G14:G21 I10:I11 I14:I21 K10:K11 K14:K21 M8:AF31 B32:AF100 E23:E25 G23:G25 I23:I25 K23:K25" name="Range1"/>
  </protectedRanges>
  <mergeCells count="8">
    <mergeCell ref="G6:H7"/>
    <mergeCell ref="G8:H8"/>
    <mergeCell ref="G13:H13"/>
    <mergeCell ref="B29:L31"/>
    <mergeCell ref="C8:D8"/>
    <mergeCell ref="E8:F8"/>
    <mergeCell ref="I8:J8"/>
    <mergeCell ref="K8:L8"/>
  </mergeCells>
  <phoneticPr fontId="3" type="noConversion"/>
  <conditionalFormatting sqref="C8 E8 D10:D11 J10:J11 L10:L11 F10:H12 D14:D15 F14:H15 J14:J15 L14:L15 D18 D26:D28 F26:H28 J26:J28 L26:L28">
    <cfRule type="expression" dxfId="247" priority="28" stopIfTrue="1">
      <formula>C8="FAIL"</formula>
    </cfRule>
  </conditionalFormatting>
  <conditionalFormatting sqref="F10:H12 F14:H15 F26:H28 C8 E8 D10:D11 J10:J11 L10:L11 D14:D15 J14:J15 L14:L15 D18 D26:D28 J26:J28 L26:L28">
    <cfRule type="expression" dxfId="246" priority="27" stopIfTrue="1">
      <formula>C8="PASS"</formula>
    </cfRule>
  </conditionalFormatting>
  <conditionalFormatting sqref="F18:H18">
    <cfRule type="expression" dxfId="245" priority="25" stopIfTrue="1">
      <formula>F18="PASS"</formula>
    </cfRule>
    <cfRule type="expression" dxfId="244" priority="26" stopIfTrue="1">
      <formula>F18="FAIL"</formula>
    </cfRule>
  </conditionalFormatting>
  <conditionalFormatting sqref="G8:I8 K8">
    <cfRule type="expression" dxfId="243" priority="29" stopIfTrue="1">
      <formula>G8="PASS"</formula>
    </cfRule>
    <cfRule type="expression" dxfId="242" priority="30" stopIfTrue="1">
      <formula>G8="FAIL"</formula>
    </cfRule>
    <cfRule type="expression" dxfId="241" priority="31" stopIfTrue="1">
      <formula>G8="N/A"</formula>
    </cfRule>
  </conditionalFormatting>
  <conditionalFormatting sqref="H10:H11 H14:H15 H18 H26:H28">
    <cfRule type="expression" dxfId="240" priority="11" stopIfTrue="1">
      <formula>H10="PASS"</formula>
    </cfRule>
    <cfRule type="expression" dxfId="239" priority="12" stopIfTrue="1">
      <formula>H10="FAIL"</formula>
    </cfRule>
  </conditionalFormatting>
  <conditionalFormatting sqref="J18">
    <cfRule type="expression" dxfId="238" priority="23" stopIfTrue="1">
      <formula>J18="PASS"</formula>
    </cfRule>
    <cfRule type="expression" dxfId="237" priority="24" stopIfTrue="1">
      <formula>J18="FAIL"</formula>
    </cfRule>
  </conditionalFormatting>
  <conditionalFormatting sqref="L18">
    <cfRule type="expression" dxfId="236" priority="21" stopIfTrue="1">
      <formula>L18="PASS"</formula>
    </cfRule>
    <cfRule type="expression" dxfId="235" priority="22" stopIfTrue="1">
      <formula>L18="FAIL"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70" zoomScaleNormal="70" zoomScaleSheetLayoutView="100" workbookViewId="0">
      <selection sqref="A1:S1"/>
    </sheetView>
  </sheetViews>
  <sheetFormatPr baseColWidth="10" defaultColWidth="11.46484375" defaultRowHeight="12.75"/>
  <cols>
    <col min="1" max="24" width="5" customWidth="1"/>
    <col min="25" max="25" width="20.6640625" customWidth="1"/>
    <col min="26" max="26" width="13.6640625" customWidth="1"/>
    <col min="27" max="28" width="5" customWidth="1"/>
    <col min="29" max="29" width="14.6640625" customWidth="1"/>
    <col min="30" max="30" width="13.6640625" customWidth="1"/>
    <col min="31" max="32" width="5" customWidth="1"/>
    <col min="33" max="33" width="17.53125" bestFit="1" customWidth="1"/>
    <col min="34" max="38" width="17.53125" customWidth="1"/>
  </cols>
  <sheetData>
    <row r="1" spans="1:41" ht="13.15">
      <c r="A1" s="1194" t="s">
        <v>491</v>
      </c>
      <c r="B1" s="1195"/>
      <c r="C1" s="1195"/>
      <c r="D1" s="1195"/>
      <c r="E1" s="1195"/>
      <c r="F1" s="1195"/>
      <c r="G1" s="1195"/>
      <c r="H1" s="1195"/>
      <c r="I1" s="1195"/>
      <c r="J1" s="1195"/>
      <c r="K1" s="1195"/>
      <c r="L1" s="1195"/>
      <c r="M1" s="1195"/>
      <c r="N1" s="1195"/>
      <c r="O1" s="1195"/>
      <c r="P1" s="1195"/>
      <c r="Q1" s="1195"/>
      <c r="R1" s="1195"/>
      <c r="S1" s="1195"/>
      <c r="T1" s="1027"/>
      <c r="U1" s="1028"/>
      <c r="V1" s="1028"/>
      <c r="W1" s="1028"/>
      <c r="X1" s="1028"/>
      <c r="Y1" s="1028"/>
      <c r="Z1" s="1028"/>
      <c r="AA1" s="1028"/>
      <c r="AB1" s="1028"/>
      <c r="AC1" s="1028"/>
      <c r="AD1" s="1028"/>
      <c r="AE1" s="1028"/>
      <c r="AF1" s="1028"/>
      <c r="AG1" s="1045"/>
      <c r="AH1" s="20"/>
      <c r="AI1" s="20"/>
      <c r="AJ1" s="20"/>
      <c r="AK1" s="20"/>
      <c r="AL1" s="21"/>
    </row>
    <row r="2" spans="1:41">
      <c r="A2" s="4"/>
      <c r="T2" s="1029"/>
      <c r="U2" s="309"/>
      <c r="V2" s="309"/>
      <c r="W2" s="309"/>
      <c r="X2" s="309"/>
      <c r="Y2" s="309"/>
      <c r="Z2" s="1044"/>
      <c r="AA2" s="309"/>
      <c r="AB2" s="779"/>
      <c r="AC2" s="779"/>
      <c r="AD2" s="1046"/>
      <c r="AE2" s="779"/>
      <c r="AF2" s="779"/>
      <c r="AG2" s="1022"/>
      <c r="AH2" s="26"/>
      <c r="AI2" s="26"/>
      <c r="AJ2" s="26"/>
      <c r="AK2" s="26"/>
      <c r="AL2" s="27"/>
      <c r="AN2" s="162"/>
      <c r="AO2" s="162"/>
    </row>
    <row r="3" spans="1:41" ht="13.15">
      <c r="A3" t="s">
        <v>39</v>
      </c>
      <c r="D3" s="1157" t="str">
        <f>IF('Cover Sheet'!$D$14&gt;0,'Cover Sheet'!$D$14,"")</f>
        <v>Ecole Centrale Lyon</v>
      </c>
      <c r="E3" s="1157"/>
      <c r="F3" s="1157"/>
      <c r="G3" s="1157"/>
      <c r="H3" s="1157"/>
      <c r="I3" s="1157"/>
      <c r="J3" s="1157"/>
      <c r="K3" t="s">
        <v>40</v>
      </c>
      <c r="O3" s="1157" t="str">
        <f>IF('Cover Sheet'!$O$14&gt;0,'Cover Sheet'!$O$14,"")</f>
        <v>81 FSCH</v>
      </c>
      <c r="P3" s="1157"/>
      <c r="Q3" s="1157"/>
      <c r="R3" s="1157"/>
      <c r="S3" s="1157"/>
      <c r="T3" s="1029"/>
      <c r="U3" s="1030" t="s">
        <v>492</v>
      </c>
      <c r="V3" s="1031"/>
      <c r="W3" s="1031"/>
      <c r="X3" s="1031"/>
      <c r="Y3" s="1032"/>
      <c r="Z3" s="994" t="s">
        <v>493</v>
      </c>
      <c r="AA3" s="1029" t="s">
        <v>494</v>
      </c>
      <c r="AB3" s="309"/>
      <c r="AC3" s="1022"/>
      <c r="AD3" s="995" t="s">
        <v>495</v>
      </c>
      <c r="AE3" s="1029"/>
      <c r="AF3" s="309"/>
      <c r="AG3" s="1022"/>
      <c r="AH3" s="26"/>
      <c r="AI3" s="26"/>
      <c r="AJ3" s="26"/>
      <c r="AK3" s="26"/>
      <c r="AL3" s="27"/>
    </row>
    <row r="4" spans="1:41">
      <c r="A4" s="4"/>
      <c r="T4" s="1029"/>
      <c r="U4" s="1033" t="s">
        <v>357</v>
      </c>
      <c r="V4" s="1034"/>
      <c r="W4" s="1034"/>
      <c r="X4" s="1034"/>
      <c r="Y4" s="1035"/>
      <c r="Z4" s="26" t="s">
        <v>216</v>
      </c>
      <c r="AA4" s="1029"/>
      <c r="AB4" s="309"/>
      <c r="AC4" s="1022"/>
      <c r="AD4" s="26" t="s">
        <v>214</v>
      </c>
      <c r="AE4" s="1029"/>
      <c r="AF4" s="309"/>
      <c r="AG4" s="1047"/>
      <c r="AH4" s="374"/>
      <c r="AI4" s="26"/>
      <c r="AJ4" s="26"/>
      <c r="AK4" s="26"/>
      <c r="AL4" s="27"/>
    </row>
    <row r="5" spans="1:41" ht="12.75" customHeight="1">
      <c r="A5" s="1211"/>
      <c r="B5" s="1212"/>
      <c r="C5" s="1212"/>
      <c r="D5" s="1212"/>
      <c r="E5" s="1212"/>
      <c r="F5" s="1212"/>
      <c r="G5" s="1212"/>
      <c r="H5" s="1212"/>
      <c r="I5" s="1212"/>
      <c r="J5" s="1212"/>
      <c r="K5" s="1212"/>
      <c r="L5" s="1212"/>
      <c r="M5" s="1212"/>
      <c r="N5" s="1212"/>
      <c r="O5" s="1212"/>
      <c r="P5" s="1212"/>
      <c r="Q5" s="1212"/>
      <c r="R5" s="1212"/>
      <c r="S5" s="1212"/>
      <c r="T5" s="1029"/>
      <c r="U5" s="1036" t="s">
        <v>496</v>
      </c>
      <c r="V5" s="647"/>
      <c r="W5" s="647"/>
      <c r="X5" s="647"/>
      <c r="Y5" s="1037"/>
      <c r="Z5" s="1020">
        <f>MaterialData!C6</f>
        <v>200000000000</v>
      </c>
      <c r="AA5" s="1029"/>
      <c r="AB5" s="309"/>
      <c r="AC5" s="1022"/>
      <c r="AD5" s="1020">
        <f>MaterialData!C6</f>
        <v>200000000000</v>
      </c>
      <c r="AE5" s="1029"/>
      <c r="AF5" s="309"/>
      <c r="AG5" s="1022"/>
      <c r="AH5" s="316"/>
      <c r="AI5" s="26"/>
      <c r="AJ5" s="26"/>
      <c r="AK5" s="26"/>
      <c r="AL5" s="27"/>
    </row>
    <row r="6" spans="1:41">
      <c r="A6" s="25"/>
      <c r="B6" s="374"/>
      <c r="C6" s="26"/>
      <c r="D6" s="26"/>
      <c r="E6" s="26"/>
      <c r="F6" s="26"/>
      <c r="G6" s="26"/>
      <c r="H6" s="26"/>
      <c r="I6" s="26"/>
      <c r="J6" s="26"/>
      <c r="K6" s="26"/>
      <c r="L6" s="26"/>
      <c r="M6" s="26"/>
      <c r="N6" s="26"/>
      <c r="O6" s="26"/>
      <c r="P6" s="26"/>
      <c r="Q6" s="26"/>
      <c r="R6" s="26"/>
      <c r="S6" s="26"/>
      <c r="T6" s="1029"/>
      <c r="U6" s="1038" t="s">
        <v>55</v>
      </c>
      <c r="V6" s="1039"/>
      <c r="W6" s="1039"/>
      <c r="X6" s="1039"/>
      <c r="Y6" s="1040"/>
      <c r="Z6" s="1020">
        <f>MaterialData!C8</f>
        <v>365000000</v>
      </c>
      <c r="AA6" s="1029"/>
      <c r="AB6" s="309"/>
      <c r="AC6" s="1022"/>
      <c r="AD6" s="1020">
        <f>MaterialData!C8</f>
        <v>365000000</v>
      </c>
      <c r="AE6" s="1029"/>
      <c r="AF6" s="309"/>
      <c r="AG6" s="1022"/>
      <c r="AH6" s="316"/>
      <c r="AI6" s="26"/>
      <c r="AJ6" s="26"/>
      <c r="AK6" s="26"/>
      <c r="AL6" s="27"/>
    </row>
    <row r="7" spans="1:41">
      <c r="A7" s="25"/>
      <c r="B7" s="374"/>
      <c r="C7" s="26"/>
      <c r="D7" s="26"/>
      <c r="E7" s="26"/>
      <c r="F7" s="26"/>
      <c r="G7" s="26"/>
      <c r="H7" s="26"/>
      <c r="I7" s="26"/>
      <c r="J7" s="26"/>
      <c r="K7" s="26"/>
      <c r="L7" s="26"/>
      <c r="M7" s="26"/>
      <c r="N7" s="26"/>
      <c r="O7" s="26"/>
      <c r="P7" s="26"/>
      <c r="Q7" s="26"/>
      <c r="R7" s="26"/>
      <c r="S7" s="26"/>
      <c r="T7" s="1029"/>
      <c r="U7" s="1038" t="s">
        <v>332</v>
      </c>
      <c r="V7" s="1039"/>
      <c r="W7" s="1039"/>
      <c r="X7" s="1039"/>
      <c r="Y7" s="1040"/>
      <c r="Z7" s="742">
        <v>40</v>
      </c>
      <c r="AA7" s="1029"/>
      <c r="AB7" s="309"/>
      <c r="AC7" s="1022"/>
      <c r="AD7" s="742">
        <v>40</v>
      </c>
      <c r="AE7" s="1029"/>
      <c r="AF7" s="309"/>
      <c r="AG7" s="1022"/>
      <c r="AH7" s="316"/>
      <c r="AI7" s="26"/>
      <c r="AJ7" s="26"/>
      <c r="AK7" s="26"/>
      <c r="AL7" s="27"/>
    </row>
    <row r="8" spans="1:41">
      <c r="A8" s="25"/>
      <c r="B8" s="26"/>
      <c r="C8" s="26"/>
      <c r="D8" s="26"/>
      <c r="E8" s="26"/>
      <c r="F8" s="26"/>
      <c r="G8" s="26"/>
      <c r="H8" s="26"/>
      <c r="I8" s="26"/>
      <c r="J8" s="26"/>
      <c r="K8" s="26"/>
      <c r="L8" s="26"/>
      <c r="M8" s="26"/>
      <c r="N8" s="26"/>
      <c r="O8" s="26"/>
      <c r="P8" s="26"/>
      <c r="Q8" s="26"/>
      <c r="R8" s="26"/>
      <c r="S8" s="26"/>
      <c r="T8" s="1029"/>
      <c r="U8" s="1038" t="s">
        <v>333</v>
      </c>
      <c r="V8" s="1039"/>
      <c r="W8" s="1039"/>
      <c r="X8" s="1039"/>
      <c r="Y8" s="1040"/>
      <c r="Z8" s="992">
        <v>2.5</v>
      </c>
      <c r="AA8" s="1029"/>
      <c r="AB8" s="309"/>
      <c r="AC8" s="1022"/>
      <c r="AD8" s="992">
        <v>2.5</v>
      </c>
      <c r="AE8" s="1029"/>
      <c r="AF8" s="309"/>
      <c r="AG8" s="1022"/>
      <c r="AH8" s="316"/>
      <c r="AI8" s="26"/>
      <c r="AJ8" s="26"/>
      <c r="AK8" s="26"/>
      <c r="AL8" s="27"/>
    </row>
    <row r="9" spans="1:41">
      <c r="A9" s="25"/>
      <c r="B9" s="374"/>
      <c r="C9" s="26"/>
      <c r="D9" s="26"/>
      <c r="E9" s="26"/>
      <c r="F9" s="26"/>
      <c r="G9" s="26"/>
      <c r="H9" s="26"/>
      <c r="I9" s="26"/>
      <c r="J9" s="26"/>
      <c r="K9" s="26"/>
      <c r="L9" s="26"/>
      <c r="M9" s="26"/>
      <c r="N9" s="26"/>
      <c r="O9" s="26"/>
      <c r="P9" s="26"/>
      <c r="Q9" s="26"/>
      <c r="R9" s="26"/>
      <c r="S9" s="26"/>
      <c r="T9" s="1029"/>
      <c r="U9" s="1038" t="s">
        <v>447</v>
      </c>
      <c r="V9" s="1039"/>
      <c r="W9" s="1039"/>
      <c r="X9" s="1039"/>
      <c r="Y9" s="1040"/>
      <c r="Z9" s="701">
        <v>400</v>
      </c>
      <c r="AA9" s="1029"/>
      <c r="AB9" s="309"/>
      <c r="AC9" s="1022"/>
      <c r="AD9" s="701">
        <v>400</v>
      </c>
      <c r="AE9" s="1029"/>
      <c r="AF9" s="309"/>
      <c r="AG9" s="1022"/>
      <c r="AH9" s="316"/>
      <c r="AI9" s="26"/>
      <c r="AJ9" s="26"/>
      <c r="AK9" s="26"/>
      <c r="AL9" s="27"/>
    </row>
    <row r="10" spans="1:41">
      <c r="A10" s="25"/>
      <c r="B10" s="26"/>
      <c r="C10" s="26"/>
      <c r="D10" s="26"/>
      <c r="E10" s="26"/>
      <c r="F10" s="26"/>
      <c r="G10" s="26"/>
      <c r="H10" s="26"/>
      <c r="I10" s="26"/>
      <c r="J10" s="26"/>
      <c r="K10" s="26"/>
      <c r="L10" s="26"/>
      <c r="M10" s="26"/>
      <c r="N10" s="26"/>
      <c r="O10" s="26"/>
      <c r="P10" s="26"/>
      <c r="Q10" s="26"/>
      <c r="R10" s="26"/>
      <c r="S10" s="26"/>
      <c r="T10" s="1029"/>
      <c r="U10" s="1041" t="s">
        <v>497</v>
      </c>
      <c r="V10" s="1042"/>
      <c r="W10" s="1042"/>
      <c r="X10" s="1042"/>
      <c r="Y10" s="1043"/>
      <c r="Z10" s="993">
        <v>75</v>
      </c>
      <c r="AA10" s="1029"/>
      <c r="AB10" s="309"/>
      <c r="AC10" s="1022"/>
      <c r="AD10" s="993">
        <v>75</v>
      </c>
      <c r="AE10" s="1029"/>
      <c r="AF10" s="309"/>
      <c r="AG10" s="1022"/>
      <c r="AH10" s="316"/>
      <c r="AI10" s="26"/>
      <c r="AJ10" s="26"/>
      <c r="AK10" s="26"/>
      <c r="AL10" s="27"/>
    </row>
    <row r="11" spans="1:41">
      <c r="A11" s="25"/>
      <c r="B11" s="26"/>
      <c r="C11" s="26"/>
      <c r="D11" s="26"/>
      <c r="E11" s="26"/>
      <c r="F11" s="26"/>
      <c r="G11" s="28"/>
      <c r="H11" s="26"/>
      <c r="I11" s="26"/>
      <c r="J11" s="26"/>
      <c r="K11" s="26"/>
      <c r="L11" s="26"/>
      <c r="M11" s="26"/>
      <c r="N11" s="26"/>
      <c r="O11" s="26"/>
      <c r="P11" s="26"/>
      <c r="Q11" s="26"/>
      <c r="R11" s="26"/>
      <c r="S11" s="26"/>
      <c r="T11" s="1029"/>
      <c r="U11" s="1036" t="s">
        <v>498</v>
      </c>
      <c r="V11" s="647"/>
      <c r="W11" s="647"/>
      <c r="X11" s="647"/>
      <c r="Y11" s="1037"/>
      <c r="Z11" s="1025">
        <f>IF(Z4="Round",((Z7/1000)^4-((Z7/1000-2*Z8/1000))^4)*3.142/64,IF(Z4="Square",((Z7/1000)^4-((Z7/1000-2*Z8/1000))^4)/12,""))</f>
        <v>8.8281249999999975E-8</v>
      </c>
      <c r="AA11" s="1029"/>
      <c r="AB11" s="309"/>
      <c r="AC11" s="1022"/>
      <c r="AD11" s="1025">
        <f>IF(Z3="Combined belts","",IF(AD4="Round",((AD7/1000)^4-((AD7/1000-2*AD8/1000))^4)*3.142/64,IF(AD4="Square",((AD7/1000)^4-((AD7/1000-2*AD8/1000))^4)/12,"")))</f>
        <v>5.2008691406249982E-8</v>
      </c>
      <c r="AE11" s="1029"/>
      <c r="AF11" s="309"/>
      <c r="AG11" s="1022"/>
      <c r="AH11" s="316"/>
      <c r="AI11" s="26"/>
      <c r="AJ11" s="26"/>
      <c r="AK11" s="26"/>
      <c r="AL11" s="27"/>
    </row>
    <row r="12" spans="1:41">
      <c r="A12" s="25"/>
      <c r="B12" s="26"/>
      <c r="C12" s="26"/>
      <c r="D12" s="26"/>
      <c r="E12" s="26"/>
      <c r="F12" s="26"/>
      <c r="G12" s="26"/>
      <c r="H12" s="26"/>
      <c r="I12" s="26"/>
      <c r="J12" s="26"/>
      <c r="K12" s="26"/>
      <c r="L12" s="26"/>
      <c r="M12" s="26"/>
      <c r="N12" s="26"/>
      <c r="O12" s="26"/>
      <c r="P12" s="26"/>
      <c r="Q12" s="26"/>
      <c r="R12" s="26"/>
      <c r="S12" s="26"/>
      <c r="T12" s="1029"/>
      <c r="U12" s="1313" t="s">
        <v>499</v>
      </c>
      <c r="V12" s="1314"/>
      <c r="W12" s="1314"/>
      <c r="X12" s="1314"/>
      <c r="Y12" s="1315"/>
      <c r="Z12" s="1021">
        <f>IF(Z10&lt;50,"",2*IF(Z3="combined belts",19500,13000)*MAX(Z10,Z9-Z10)^3*MIN(Z10,Z9-Z10)^2/(3*Z5*Z11*(3*MAX(Z10,Z9-Z10)+MIN(Z10,Z9-Z10))^2*1000000))</f>
        <v>8.5970140268496809E-2</v>
      </c>
      <c r="AA12" s="1312" t="str">
        <f>IF(OR(Z12&lt;=25,Z10&lt;50),"PASS","FAIL")</f>
        <v>PASS</v>
      </c>
      <c r="AB12" s="1312"/>
      <c r="AC12" s="1022"/>
      <c r="AD12" s="1021">
        <f>IF(Z3="Combined belts","",IF(AD10&lt;50,"",2*6500*MAX(AD10,AD9-AD10)^3*MIN(AD10,AD9-AD10)^2/(3*AD5*AD11*(3*MAX(AD10,AD9-AD10)+MIN(AD10,AD9-AD10))^2*1000000)))</f>
        <v>7.2964260783786816E-2</v>
      </c>
      <c r="AE12" s="1312" t="str">
        <f>IF(Z3="Combined belts","",IF(OR(AD12&lt;=25,AD10&lt;50),"PASS","FAIL"))</f>
        <v>PASS</v>
      </c>
      <c r="AF12" s="1312"/>
      <c r="AG12" s="1022"/>
      <c r="AH12" s="316"/>
      <c r="AI12" s="26"/>
      <c r="AJ12" s="26"/>
      <c r="AK12" s="26"/>
      <c r="AL12" s="27"/>
    </row>
    <row r="13" spans="1:41">
      <c r="A13" s="25"/>
      <c r="B13" s="26"/>
      <c r="C13" s="388" t="s">
        <v>225</v>
      </c>
      <c r="D13" s="26"/>
      <c r="E13" s="26"/>
      <c r="F13" s="26"/>
      <c r="G13" s="28"/>
      <c r="H13" s="26"/>
      <c r="I13" s="26"/>
      <c r="J13" s="26"/>
      <c r="K13" s="26"/>
      <c r="L13" s="26"/>
      <c r="M13" s="26"/>
      <c r="N13" s="26"/>
      <c r="O13" s="26"/>
      <c r="P13" s="26"/>
      <c r="Q13" s="26"/>
      <c r="R13" s="26"/>
      <c r="S13" s="26"/>
      <c r="T13" s="1029"/>
      <c r="U13" s="1301" t="s">
        <v>450</v>
      </c>
      <c r="V13" s="1302"/>
      <c r="W13" s="1302"/>
      <c r="X13" s="1302"/>
      <c r="Y13" s="1303"/>
      <c r="Z13" s="1026">
        <f>IF(Z10&lt;50,"",ABS(-IF(Z3="combined belts",19500,13000)*Z10*(Z9-Z10)^2/Z9^2))</f>
        <v>643652.34375</v>
      </c>
      <c r="AC13" s="309"/>
      <c r="AD13" s="1049">
        <f>IF(Z3="Combined belts","",IF(AD10&lt;50,"",6500*AD10*(AD9-AD10)^2/AD9^2))</f>
        <v>321826.171875</v>
      </c>
      <c r="AG13" s="1022"/>
      <c r="AH13" s="316"/>
      <c r="AI13" s="26"/>
      <c r="AJ13" s="26"/>
      <c r="AK13" s="26"/>
      <c r="AL13" s="27"/>
    </row>
    <row r="14" spans="1:41">
      <c r="A14" s="25"/>
      <c r="B14" s="26"/>
      <c r="C14" s="26"/>
      <c r="D14" s="26"/>
      <c r="E14" s="26"/>
      <c r="F14" s="26"/>
      <c r="G14" s="26"/>
      <c r="H14" s="26"/>
      <c r="I14" s="26"/>
      <c r="J14" s="26"/>
      <c r="K14" s="26"/>
      <c r="L14" s="26"/>
      <c r="M14" s="26"/>
      <c r="N14" s="26"/>
      <c r="O14" s="26"/>
      <c r="P14" s="26"/>
      <c r="Q14" s="26"/>
      <c r="R14" s="26"/>
      <c r="S14" s="638"/>
      <c r="T14" s="309"/>
      <c r="U14" s="1301" t="s">
        <v>451</v>
      </c>
      <c r="V14" s="1302"/>
      <c r="W14" s="1302"/>
      <c r="X14" s="1302"/>
      <c r="Y14" s="1303"/>
      <c r="Z14" s="1026">
        <f>IF(Z10&lt;50,"",ABS(-IF(Z3="combined belts",19500,13000)*Z10^2*(Z9-Z10)/Z9^2))</f>
        <v>148535.15625</v>
      </c>
      <c r="AA14" s="309"/>
      <c r="AB14" s="309"/>
      <c r="AC14" s="309"/>
      <c r="AD14" s="1049">
        <f>IF(Z3="Combined belts","",IF(AD10&lt;50,"",6500*AD10^2*(AD9-AD10)/AD9^2))</f>
        <v>74267.578125</v>
      </c>
      <c r="AE14" s="309"/>
      <c r="AF14" s="309"/>
      <c r="AG14" s="1022"/>
      <c r="AH14" s="316"/>
      <c r="AI14" s="26"/>
      <c r="AJ14" s="26"/>
      <c r="AK14" s="26"/>
      <c r="AL14" s="27"/>
    </row>
    <row r="15" spans="1:41">
      <c r="A15" s="25"/>
      <c r="B15" s="26"/>
      <c r="C15" s="251" t="s">
        <v>500</v>
      </c>
      <c r="D15" s="249"/>
      <c r="E15" s="26"/>
      <c r="F15" s="26"/>
      <c r="G15" s="26"/>
      <c r="H15" s="26"/>
      <c r="I15" s="26"/>
      <c r="J15" s="26"/>
      <c r="K15" s="26"/>
      <c r="L15" s="26"/>
      <c r="M15" s="26"/>
      <c r="N15" s="26"/>
      <c r="O15" s="26"/>
      <c r="P15" s="26"/>
      <c r="Q15" s="26"/>
      <c r="R15" s="26"/>
      <c r="S15" s="27"/>
      <c r="T15" s="309"/>
      <c r="U15" s="1307" t="s">
        <v>452</v>
      </c>
      <c r="V15" s="1308"/>
      <c r="W15" s="1308"/>
      <c r="X15" s="1308"/>
      <c r="Y15" s="1309"/>
      <c r="Z15" s="1026">
        <f>IF(Z10&lt;50,"",2*IF(Z3="combined belts",19500,13000)*Z10^2*(Z9-Z10)^2/Z9^3)</f>
        <v>241369.62890625</v>
      </c>
      <c r="AA15" s="309"/>
      <c r="AB15" s="309"/>
      <c r="AC15" s="309"/>
      <c r="AD15" s="1049">
        <f>IF(Z3="Combined belts","",IF(AD10&lt;50,"",6500*AD10^2*(AD9-AD10)^2/AD9^3))</f>
        <v>60342.4072265625</v>
      </c>
      <c r="AE15" s="309"/>
      <c r="AF15" s="309"/>
      <c r="AG15" s="1022"/>
      <c r="AH15" s="316"/>
      <c r="AI15" s="26"/>
      <c r="AJ15" s="26"/>
      <c r="AK15" s="26"/>
      <c r="AL15" s="27"/>
    </row>
    <row r="16" spans="1:41">
      <c r="A16" s="25"/>
      <c r="B16" s="26"/>
      <c r="C16" s="393" t="s">
        <v>501</v>
      </c>
      <c r="D16" s="316"/>
      <c r="E16" s="318"/>
      <c r="F16" s="318"/>
      <c r="G16" s="318"/>
      <c r="H16" s="318"/>
      <c r="I16" s="318"/>
      <c r="J16" s="318"/>
      <c r="K16" s="318"/>
      <c r="L16" s="318"/>
      <c r="M16" s="318"/>
      <c r="N16" s="318"/>
      <c r="O16" s="318"/>
      <c r="P16" s="318"/>
      <c r="Q16" s="26"/>
      <c r="R16" s="26"/>
      <c r="S16" s="27"/>
      <c r="T16" s="309"/>
      <c r="U16" s="1304" t="s">
        <v>502</v>
      </c>
      <c r="V16" s="1304"/>
      <c r="W16" s="1304"/>
      <c r="X16" s="1304"/>
      <c r="Y16" s="1304"/>
      <c r="Z16" s="1023">
        <f>IF(Z10&lt;50,"",MAX(Z13:Z15)*Z7/2/Z11/1000000000000)</f>
        <v>145.8185840707965</v>
      </c>
      <c r="AA16" s="1312" t="str">
        <f>IF(OR(Z16&lt;=Z6,Z10&lt;50),"PASS","FAIL")</f>
        <v>PASS</v>
      </c>
      <c r="AB16" s="1312"/>
      <c r="AC16" s="309"/>
      <c r="AD16" s="1024">
        <f>IF(Z3="Combined belts","",IF(AD10&lt;50,"",MAX(AD13:AD15)*AD7/2/AD11/1000000000000))</f>
        <v>123.75861156019225</v>
      </c>
      <c r="AE16" s="1312" t="str">
        <f>IF(Z3="Combined belts","",IF(OR(AD16&lt;=AD6,AD10&lt;50),"PASS","FAIL"))</f>
        <v>PASS</v>
      </c>
      <c r="AF16" s="1312"/>
      <c r="AG16" s="1022"/>
      <c r="AH16" s="316"/>
      <c r="AI16" s="26"/>
      <c r="AJ16" s="26"/>
      <c r="AK16" s="26"/>
      <c r="AL16" s="27"/>
    </row>
    <row r="17" spans="1:38">
      <c r="A17" s="25"/>
      <c r="B17" s="26"/>
      <c r="C17" s="249"/>
      <c r="D17" s="249"/>
      <c r="E17" s="26"/>
      <c r="F17" s="26"/>
      <c r="G17" s="26"/>
      <c r="H17" s="26"/>
      <c r="I17" s="26"/>
      <c r="J17" s="26"/>
      <c r="K17" s="26"/>
      <c r="L17" s="26"/>
      <c r="M17" s="26"/>
      <c r="N17" s="26"/>
      <c r="O17" s="26"/>
      <c r="P17" s="26"/>
      <c r="Q17" s="26"/>
      <c r="R17" s="26"/>
      <c r="S17" s="27"/>
      <c r="T17" s="1044"/>
      <c r="U17" s="1044"/>
      <c r="V17" s="1044"/>
      <c r="W17" s="1044"/>
      <c r="X17" s="1044"/>
      <c r="Y17" s="1044"/>
      <c r="Z17" s="1044"/>
      <c r="AA17" s="1044"/>
      <c r="AB17" s="1044"/>
      <c r="AC17" s="1044"/>
      <c r="AD17" s="1044"/>
      <c r="AE17" s="1044"/>
      <c r="AF17" s="1044"/>
      <c r="AG17" s="1048"/>
      <c r="AH17" s="316"/>
      <c r="AI17" s="26"/>
      <c r="AJ17" s="26"/>
      <c r="AK17" s="26"/>
      <c r="AL17" s="27"/>
    </row>
    <row r="18" spans="1:38">
      <c r="A18" s="25"/>
      <c r="B18" s="26"/>
      <c r="C18" s="388" t="s">
        <v>220</v>
      </c>
      <c r="D18" s="249"/>
      <c r="E18" s="26"/>
      <c r="F18" s="26"/>
      <c r="G18" s="26"/>
      <c r="H18" s="26"/>
      <c r="I18" s="26"/>
      <c r="J18" s="26"/>
      <c r="K18" s="26"/>
      <c r="L18" s="26"/>
      <c r="M18" s="26"/>
      <c r="N18" s="26"/>
      <c r="O18" s="26"/>
      <c r="P18" s="26"/>
      <c r="Q18" s="26"/>
      <c r="R18" s="26"/>
      <c r="S18" s="27"/>
      <c r="T18" s="26"/>
      <c r="U18" s="26"/>
      <c r="V18" s="26"/>
      <c r="W18" s="26"/>
      <c r="X18" s="26"/>
      <c r="Y18" s="26"/>
      <c r="Z18" s="26"/>
      <c r="AA18" s="26"/>
      <c r="AB18" s="26"/>
      <c r="AC18" s="26"/>
      <c r="AD18" s="26"/>
      <c r="AE18" s="26"/>
      <c r="AF18" s="316"/>
      <c r="AG18" s="316"/>
      <c r="AH18" s="316"/>
      <c r="AI18" s="26"/>
      <c r="AJ18" s="26"/>
      <c r="AK18" s="26"/>
      <c r="AL18" s="27"/>
    </row>
    <row r="19" spans="1:38">
      <c r="A19" s="25"/>
      <c r="B19" s="26"/>
      <c r="C19" s="252"/>
      <c r="D19" s="249"/>
      <c r="E19" s="26"/>
      <c r="F19" s="26"/>
      <c r="G19" s="28"/>
      <c r="H19" s="26"/>
      <c r="I19" s="26"/>
      <c r="J19" s="26"/>
      <c r="K19" s="26"/>
      <c r="L19" s="26"/>
      <c r="M19" s="26"/>
      <c r="N19" s="26"/>
      <c r="O19" s="26"/>
      <c r="P19" s="26"/>
      <c r="Q19" s="26"/>
      <c r="R19" s="26"/>
      <c r="S19" s="27"/>
      <c r="T19" s="26"/>
      <c r="U19" s="26"/>
      <c r="V19" s="26"/>
      <c r="W19" s="26"/>
      <c r="X19" s="26"/>
      <c r="Y19" s="26"/>
      <c r="Z19" s="26"/>
      <c r="AA19" s="26"/>
      <c r="AB19" s="26"/>
      <c r="AC19" s="26"/>
      <c r="AD19" s="26"/>
      <c r="AE19" s="26"/>
      <c r="AF19" s="26"/>
      <c r="AG19" s="26"/>
      <c r="AH19" s="26"/>
      <c r="AI19" s="26"/>
      <c r="AJ19" s="26"/>
      <c r="AK19" s="26"/>
      <c r="AL19" s="27"/>
    </row>
    <row r="20" spans="1:38">
      <c r="A20" s="25"/>
      <c r="B20" s="26"/>
      <c r="C20" s="388" t="s">
        <v>221</v>
      </c>
      <c r="D20" s="249"/>
      <c r="E20" s="26"/>
      <c r="F20" s="26"/>
      <c r="G20" s="26"/>
      <c r="H20" s="26"/>
      <c r="I20" s="26"/>
      <c r="J20" s="26"/>
      <c r="K20" s="26"/>
      <c r="L20" s="26"/>
      <c r="M20" s="26"/>
      <c r="N20" s="26"/>
      <c r="O20" s="26"/>
      <c r="P20" s="26"/>
      <c r="Q20" s="26"/>
      <c r="R20" s="26"/>
      <c r="S20" s="27"/>
      <c r="T20" s="25"/>
      <c r="U20" s="26"/>
      <c r="V20" s="641" t="s">
        <v>304</v>
      </c>
      <c r="W20" s="23"/>
      <c r="X20" s="23"/>
      <c r="Y20" s="23"/>
      <c r="Z20" s="23"/>
      <c r="AA20" s="23"/>
      <c r="AB20" s="26"/>
      <c r="AC20" s="26"/>
      <c r="AD20" s="26"/>
      <c r="AE20" s="26"/>
      <c r="AF20" s="26"/>
      <c r="AG20" s="26"/>
      <c r="AH20" s="26"/>
      <c r="AI20" s="26"/>
      <c r="AJ20" s="26"/>
      <c r="AK20" s="26"/>
      <c r="AL20" s="27"/>
    </row>
    <row r="21" spans="1:38">
      <c r="A21" s="25"/>
      <c r="B21" s="26"/>
      <c r="C21" s="252"/>
      <c r="D21" s="249"/>
      <c r="E21" s="26"/>
      <c r="F21" s="26"/>
      <c r="G21" s="380"/>
      <c r="H21" s="26"/>
      <c r="I21" s="26"/>
      <c r="J21" s="26"/>
      <c r="K21" s="26"/>
      <c r="L21" s="26"/>
      <c r="M21" s="26"/>
      <c r="N21" s="26"/>
      <c r="O21" s="26"/>
      <c r="P21" s="26"/>
      <c r="Q21" s="26"/>
      <c r="R21" s="26"/>
      <c r="S21" s="27"/>
      <c r="T21" s="25"/>
      <c r="U21" s="26"/>
      <c r="V21" s="388"/>
      <c r="W21" s="23"/>
      <c r="X21" s="28"/>
      <c r="Y21" s="23"/>
      <c r="Z21" s="23"/>
      <c r="AA21" s="28"/>
      <c r="AB21" s="26"/>
      <c r="AC21" s="26"/>
      <c r="AD21" s="26"/>
      <c r="AE21" s="26"/>
      <c r="AF21" s="26"/>
      <c r="AG21" s="26"/>
      <c r="AH21" s="26"/>
      <c r="AI21" s="26"/>
      <c r="AJ21" s="26"/>
      <c r="AK21" s="26"/>
      <c r="AL21" s="27"/>
    </row>
    <row r="22" spans="1:38">
      <c r="A22" s="25"/>
      <c r="B22" s="26"/>
      <c r="C22" s="388" t="s">
        <v>222</v>
      </c>
      <c r="D22" s="388"/>
      <c r="E22" s="26"/>
      <c r="F22" s="26"/>
      <c r="G22" s="318"/>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26"/>
      <c r="C23" s="26"/>
      <c r="D23" s="26"/>
      <c r="E23" s="26"/>
      <c r="F23" s="26"/>
      <c r="G23" s="318"/>
      <c r="H23" s="26"/>
      <c r="I23" s="26"/>
      <c r="J23" s="26"/>
      <c r="K23" s="26"/>
      <c r="L23" s="26"/>
      <c r="M23" s="26"/>
      <c r="N23" s="26"/>
      <c r="O23" s="26"/>
      <c r="P23" s="26"/>
      <c r="Q23" s="26"/>
      <c r="R23" s="26"/>
      <c r="S23" s="27"/>
      <c r="T23" s="25"/>
      <c r="U23" s="26"/>
      <c r="V23" s="388" t="s">
        <v>503</v>
      </c>
      <c r="W23" s="249"/>
      <c r="X23" s="316"/>
      <c r="Y23" s="26"/>
      <c r="Z23" s="26"/>
      <c r="AA23" s="26"/>
      <c r="AB23" s="26"/>
      <c r="AC23" s="26"/>
      <c r="AD23" s="26"/>
      <c r="AE23" s="26"/>
      <c r="AF23" s="26"/>
      <c r="AG23" s="26"/>
      <c r="AH23" s="26"/>
      <c r="AI23" s="26"/>
      <c r="AJ23" s="26"/>
      <c r="AK23" s="26"/>
      <c r="AL23" s="27"/>
    </row>
    <row r="24" spans="1:38">
      <c r="A24" s="25"/>
      <c r="B24" s="26"/>
      <c r="C24" s="26"/>
      <c r="D24" s="26"/>
      <c r="E24" s="26"/>
      <c r="F24" s="26"/>
      <c r="G24" s="318"/>
      <c r="H24" s="26"/>
      <c r="I24" s="26"/>
      <c r="J24" s="26"/>
      <c r="K24" s="26"/>
      <c r="L24" s="26"/>
      <c r="M24" s="26"/>
      <c r="N24" s="26"/>
      <c r="O24" s="26"/>
      <c r="P24" s="26"/>
      <c r="Q24" s="26"/>
      <c r="R24" s="26"/>
      <c r="S24" s="27"/>
      <c r="T24" s="25"/>
      <c r="U24" s="26"/>
      <c r="V24" s="388" t="s">
        <v>504</v>
      </c>
      <c r="W24" s="249"/>
      <c r="X24" s="316"/>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388" t="s">
        <v>505</v>
      </c>
      <c r="W25" s="249"/>
      <c r="X25" s="31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388"/>
      <c r="W26" s="249"/>
      <c r="X26" s="31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394" t="s">
        <v>506</v>
      </c>
      <c r="W27" s="249"/>
      <c r="X27" s="31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394" t="s">
        <v>507</v>
      </c>
      <c r="W28" s="249"/>
      <c r="X28" s="31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388"/>
      <c r="W29" s="249"/>
      <c r="X29" s="31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49"/>
      <c r="W30" s="249"/>
      <c r="X30" s="31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388" t="s">
        <v>508</v>
      </c>
      <c r="W31" s="249"/>
      <c r="X31" s="31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394" t="s">
        <v>509</v>
      </c>
      <c r="W32" s="26"/>
      <c r="X32" s="318"/>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6"/>
      <c r="W33" s="26"/>
      <c r="X33" s="26"/>
      <c r="Y33" s="26"/>
      <c r="Z33" s="26"/>
      <c r="AA33" s="26"/>
      <c r="AB33" s="26"/>
      <c r="AC33" s="26"/>
      <c r="AD33" s="26"/>
      <c r="AE33" s="26"/>
      <c r="AF33" s="26"/>
      <c r="AG33" s="26"/>
      <c r="AH33" s="26"/>
      <c r="AI33" s="26"/>
      <c r="AJ33" s="26"/>
      <c r="AK33" s="26"/>
      <c r="AL33" s="27"/>
    </row>
    <row r="34" spans="1:38">
      <c r="A34" s="9" t="s">
        <v>510</v>
      </c>
      <c r="B34" s="6"/>
      <c r="C34" s="6"/>
      <c r="D34" s="6"/>
      <c r="E34" s="6"/>
      <c r="F34" s="6"/>
      <c r="G34" s="6"/>
      <c r="H34" s="6"/>
      <c r="I34" s="6"/>
      <c r="J34" s="6"/>
      <c r="K34" s="6"/>
      <c r="L34" s="6"/>
      <c r="M34" s="6"/>
      <c r="N34" s="6"/>
      <c r="O34" s="2"/>
      <c r="P34" s="13" t="s">
        <v>511</v>
      </c>
      <c r="Q34" s="1200" t="s">
        <v>76</v>
      </c>
      <c r="R34" s="1202"/>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512</v>
      </c>
      <c r="Q35" s="1200" t="s">
        <v>76</v>
      </c>
      <c r="R35" s="1202"/>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513</v>
      </c>
      <c r="Q36" s="1200" t="s">
        <v>76</v>
      </c>
      <c r="R36" s="1202"/>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514</v>
      </c>
      <c r="Q37" s="1294" t="s">
        <v>76</v>
      </c>
      <c r="R37" s="1295"/>
      <c r="S37" s="7"/>
      <c r="T37" s="25"/>
      <c r="U37" s="26"/>
      <c r="V37" s="26"/>
      <c r="W37" s="26"/>
      <c r="X37" s="26"/>
      <c r="Y37" s="26"/>
      <c r="Z37" s="26"/>
      <c r="AA37" s="26"/>
      <c r="AB37" s="26"/>
      <c r="AC37" s="26"/>
      <c r="AD37" s="26"/>
      <c r="AE37" s="26"/>
      <c r="AF37" s="26"/>
      <c r="AG37" s="26"/>
      <c r="AH37" s="26"/>
      <c r="AI37" s="26"/>
      <c r="AJ37" s="26"/>
      <c r="AK37" s="26"/>
      <c r="AL37" s="27"/>
    </row>
    <row r="38" spans="1:38">
      <c r="A38" s="14" t="s">
        <v>515</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516</v>
      </c>
      <c r="B39" s="10"/>
      <c r="C39" s="10"/>
      <c r="D39" s="10"/>
      <c r="E39" s="10" t="str" cm="1">
        <f t="array" ref="E39">IF(E18&lt;50,"",13000*E18^3*(E17-E18)^3/(3*'T4.5 Harness Attachments'!AC20E8*E28*E17^3*1000000))</f>
        <v/>
      </c>
      <c r="F39" s="10"/>
      <c r="G39" s="10"/>
      <c r="H39" s="10"/>
      <c r="I39" s="10"/>
      <c r="J39" s="10"/>
      <c r="K39" s="10"/>
      <c r="L39" s="8" t="s">
        <v>517</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187" t="s">
        <v>242</v>
      </c>
      <c r="B40" s="1186"/>
      <c r="C40" s="1227"/>
      <c r="D40" s="1292">
        <v>0</v>
      </c>
      <c r="E40" s="1293"/>
      <c r="F40" s="1288" t="str">
        <f>IF(AND(Q34="YES",D40&gt;=13000),"PASS",IF(AND(Q34="YES",D40&lt;13000),"FAIL","N/A"))</f>
        <v>N/A</v>
      </c>
      <c r="G40" s="1289"/>
      <c r="H40" s="10"/>
      <c r="I40" s="10"/>
      <c r="J40" s="10"/>
      <c r="K40" s="10"/>
      <c r="L40" s="10"/>
      <c r="M40" s="10"/>
      <c r="N40" s="10"/>
      <c r="O40" s="10"/>
      <c r="P40" s="10"/>
      <c r="Q40" s="10"/>
      <c r="R40" s="10"/>
      <c r="S40" s="11"/>
      <c r="T40" s="25"/>
      <c r="U40" s="26"/>
      <c r="V40" s="388" t="s">
        <v>221</v>
      </c>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51" t="s">
        <v>518</v>
      </c>
      <c r="W41" s="26"/>
      <c r="X41" s="26"/>
      <c r="Y41" s="26"/>
      <c r="Z41" s="26"/>
      <c r="AA41" s="26"/>
      <c r="AB41" s="26"/>
      <c r="AC41" s="26"/>
      <c r="AD41" s="26"/>
      <c r="AE41" s="26"/>
      <c r="AF41" s="26"/>
      <c r="AG41" s="26"/>
      <c r="AH41" s="26"/>
      <c r="AI41" s="26"/>
      <c r="AJ41" s="26"/>
      <c r="AK41" s="26"/>
      <c r="AL41" s="27"/>
    </row>
    <row r="42" spans="1:38">
      <c r="A42" s="14" t="s">
        <v>519</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516</v>
      </c>
      <c r="B43" s="10"/>
      <c r="C43" s="10"/>
      <c r="D43" s="10"/>
      <c r="E43" s="10" t="str">
        <f>IF(E18&lt;50,"",'T4.5 Harness Attachments'!Z16)</f>
        <v/>
      </c>
      <c r="F43" s="10"/>
      <c r="G43" s="10"/>
      <c r="H43" s="10"/>
      <c r="I43" s="10"/>
      <c r="J43" s="10"/>
      <c r="K43" s="10"/>
      <c r="L43" s="8" t="s">
        <v>517</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187" t="s">
        <v>242</v>
      </c>
      <c r="B44" s="1186"/>
      <c r="C44" s="1227"/>
      <c r="D44" s="1292">
        <v>0</v>
      </c>
      <c r="E44" s="1293"/>
      <c r="F44" s="1288" t="str">
        <f>IF(AND(Q35="YES",D44&gt;=13000),"PASS",IF(AND(Q35="YES",D44&lt;13000),"FAIL","N/A"))</f>
        <v>N/A</v>
      </c>
      <c r="G44" s="1289"/>
      <c r="H44" s="10"/>
      <c r="I44" s="10"/>
      <c r="J44" s="10"/>
      <c r="K44" s="10"/>
      <c r="L44" s="10"/>
      <c r="M44" s="10"/>
      <c r="N44" s="10"/>
      <c r="O44" s="10"/>
      <c r="P44" s="10"/>
      <c r="Q44" s="10"/>
      <c r="R44" s="10"/>
      <c r="S44" s="11"/>
      <c r="T44" s="25"/>
      <c r="U44" s="26"/>
      <c r="V44" s="26"/>
      <c r="W44" s="26"/>
      <c r="X44" s="26"/>
      <c r="Y44" s="26"/>
      <c r="Z44" s="31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520</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516</v>
      </c>
      <c r="B47" s="10"/>
      <c r="C47" s="10"/>
      <c r="D47" s="10"/>
      <c r="E47" s="10"/>
      <c r="F47" s="10"/>
      <c r="G47" s="10"/>
      <c r="H47" s="10"/>
      <c r="I47" s="10"/>
      <c r="J47" s="10"/>
      <c r="K47" s="10"/>
      <c r="L47" s="8" t="s">
        <v>521</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187" t="s">
        <v>242</v>
      </c>
      <c r="B48" s="1186"/>
      <c r="C48" s="1227"/>
      <c r="D48" s="1292">
        <v>0</v>
      </c>
      <c r="E48" s="1293"/>
      <c r="F48" s="1288" t="str">
        <f>IF(AND(Q36="YES",D48&gt;=6500),"PASS",IF(AND(Q36="YES",D48&lt;6500),"FAIL","N/A"))</f>
        <v>N/A</v>
      </c>
      <c r="G48" s="1289"/>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522</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516</v>
      </c>
      <c r="B51" s="10"/>
      <c r="C51" s="10"/>
      <c r="D51" s="10"/>
      <c r="E51" s="10"/>
      <c r="F51" s="10"/>
      <c r="G51" s="10"/>
      <c r="H51" s="10"/>
      <c r="I51" s="10"/>
      <c r="J51" s="10"/>
      <c r="K51" s="10"/>
      <c r="L51" s="8" t="s">
        <v>523</v>
      </c>
      <c r="M51" s="10"/>
      <c r="N51" s="10"/>
      <c r="O51" s="162" t="s">
        <v>219</v>
      </c>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296" t="s">
        <v>242</v>
      </c>
      <c r="B52" s="1297"/>
      <c r="C52" s="1298"/>
      <c r="D52" s="1292">
        <v>0</v>
      </c>
      <c r="E52" s="1293"/>
      <c r="F52" s="1288" t="str">
        <f>IF(AND(Q37="YES",D52&gt;=19500),"PASS",IF(AND(Q37="YES",D52&lt;19500),"FAIL","N/A"))</f>
        <v>N/A</v>
      </c>
      <c r="G52" s="1289"/>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39" t="s">
        <v>275</v>
      </c>
      <c r="S53" s="15"/>
      <c r="T53" s="539" t="s">
        <v>275</v>
      </c>
      <c r="AL53" s="15"/>
    </row>
    <row r="54" spans="1:38">
      <c r="A54" s="8" t="s">
        <v>276</v>
      </c>
      <c r="S54" s="15"/>
      <c r="T54" s="8" t="s">
        <v>276</v>
      </c>
      <c r="AL54" s="15"/>
    </row>
    <row r="55" spans="1:38">
      <c r="A55" s="8" t="s">
        <v>277</v>
      </c>
      <c r="B55" s="104"/>
      <c r="C55" s="104"/>
      <c r="D55" s="104"/>
      <c r="E55" s="104"/>
      <c r="F55" s="104"/>
      <c r="G55" s="104"/>
      <c r="H55" s="104"/>
      <c r="I55" s="104"/>
      <c r="J55" s="104"/>
      <c r="K55" s="104"/>
      <c r="L55" s="104"/>
      <c r="M55" s="104"/>
      <c r="N55" s="104"/>
      <c r="O55" s="104"/>
      <c r="P55" s="104"/>
      <c r="Q55" s="104"/>
      <c r="R55" s="104"/>
      <c r="S55" s="147"/>
      <c r="T55" s="8" t="s">
        <v>277</v>
      </c>
      <c r="U55" s="104"/>
      <c r="V55" s="104"/>
      <c r="W55" s="104"/>
      <c r="X55" s="104"/>
      <c r="Y55" s="104"/>
      <c r="Z55" s="104"/>
      <c r="AA55" s="104"/>
      <c r="AB55" s="104"/>
      <c r="AC55" s="104"/>
      <c r="AD55" s="104"/>
      <c r="AE55" s="104"/>
      <c r="AF55" s="104"/>
      <c r="AG55" s="104"/>
      <c r="AH55" s="104"/>
      <c r="AI55" s="104"/>
      <c r="AJ55" s="104"/>
      <c r="AK55" s="104"/>
      <c r="AL55" s="147"/>
    </row>
    <row r="56" spans="1:38">
      <c r="A56" s="146"/>
      <c r="B56" s="104"/>
      <c r="C56" s="104"/>
      <c r="D56" s="104"/>
      <c r="E56" s="104"/>
      <c r="F56" s="104"/>
      <c r="G56" s="104"/>
      <c r="H56" s="104"/>
      <c r="I56" s="104"/>
      <c r="J56" s="104"/>
      <c r="K56" s="104"/>
      <c r="L56" s="104"/>
      <c r="M56" s="104"/>
      <c r="N56" s="104"/>
      <c r="O56" s="104"/>
      <c r="P56" s="104"/>
      <c r="Q56" s="104"/>
      <c r="R56" s="104"/>
      <c r="S56" s="147"/>
      <c r="T56" s="146"/>
      <c r="U56" s="104"/>
      <c r="V56" s="104"/>
      <c r="W56" s="104"/>
      <c r="X56" s="104"/>
      <c r="Y56" s="104"/>
      <c r="Z56" s="104"/>
      <c r="AA56" s="104"/>
      <c r="AB56" s="104"/>
      <c r="AC56" s="104"/>
      <c r="AD56" s="104"/>
      <c r="AE56" s="104"/>
      <c r="AF56" s="104"/>
      <c r="AG56" s="104"/>
      <c r="AH56" s="104"/>
      <c r="AI56" s="104"/>
      <c r="AJ56" s="104"/>
      <c r="AK56" s="104"/>
      <c r="AL56" s="147"/>
    </row>
    <row r="57" spans="1:38" ht="23.25">
      <c r="A57" s="146"/>
      <c r="B57" s="541"/>
      <c r="C57" s="1299" t="s">
        <v>524</v>
      </c>
      <c r="D57" s="1300"/>
      <c r="E57" s="850" t="s">
        <v>279</v>
      </c>
      <c r="F57" s="104"/>
      <c r="G57" s="104"/>
      <c r="H57" s="1219"/>
      <c r="I57" s="1219"/>
      <c r="J57" s="104"/>
      <c r="K57" s="104"/>
      <c r="L57" s="104"/>
      <c r="M57" s="104"/>
      <c r="N57" s="104"/>
      <c r="O57" s="104"/>
      <c r="P57" s="104"/>
      <c r="Q57" s="104"/>
      <c r="R57" s="104"/>
      <c r="S57" s="147"/>
      <c r="T57" s="146"/>
      <c r="U57" s="541"/>
      <c r="V57" s="1299" t="s">
        <v>524</v>
      </c>
      <c r="W57" s="1300"/>
      <c r="X57" s="850" t="s">
        <v>279</v>
      </c>
      <c r="Y57" s="104"/>
      <c r="Z57" s="104"/>
      <c r="AA57" s="1219"/>
      <c r="AB57" s="1219"/>
      <c r="AC57" s="104"/>
      <c r="AD57" s="104"/>
      <c r="AE57" s="104"/>
      <c r="AF57" s="104"/>
      <c r="AG57" s="104"/>
      <c r="AH57" s="104"/>
      <c r="AI57" s="104"/>
      <c r="AJ57" s="104"/>
      <c r="AK57" s="104"/>
      <c r="AL57" s="147"/>
    </row>
    <row r="58" spans="1:38" ht="14.25">
      <c r="A58" s="146"/>
      <c r="B58" s="542">
        <v>1</v>
      </c>
      <c r="C58" s="1305"/>
      <c r="D58" s="1306"/>
      <c r="E58" s="568"/>
      <c r="F58" s="104"/>
      <c r="G58" s="599"/>
      <c r="H58" s="540"/>
      <c r="I58" s="540"/>
      <c r="J58" s="104"/>
      <c r="K58" s="104"/>
      <c r="L58" s="104"/>
      <c r="M58" s="104"/>
      <c r="N58" s="104"/>
      <c r="O58" s="104"/>
      <c r="P58" s="104"/>
      <c r="Q58" s="104"/>
      <c r="R58" s="104"/>
      <c r="S58" s="147"/>
      <c r="T58" s="146"/>
      <c r="U58" s="542">
        <v>1</v>
      </c>
      <c r="V58" s="1305"/>
      <c r="W58" s="1306"/>
      <c r="X58" s="568"/>
      <c r="Y58" s="104"/>
      <c r="Z58" s="599"/>
      <c r="AA58" s="540"/>
      <c r="AB58" s="540"/>
      <c r="AC58" s="104"/>
      <c r="AD58" s="104"/>
      <c r="AE58" s="104"/>
      <c r="AF58" s="104"/>
      <c r="AG58" s="104"/>
      <c r="AH58" s="104"/>
      <c r="AI58" s="104"/>
      <c r="AJ58" s="104"/>
      <c r="AK58" s="104"/>
      <c r="AL58" s="147"/>
    </row>
    <row r="59" spans="1:38">
      <c r="A59" s="146"/>
      <c r="B59" s="542">
        <v>2</v>
      </c>
      <c r="C59" s="1305"/>
      <c r="D59" s="1306"/>
      <c r="E59" s="568"/>
      <c r="F59" s="104"/>
      <c r="G59" s="613"/>
      <c r="J59" s="104"/>
      <c r="K59" s="104"/>
      <c r="L59" s="104"/>
      <c r="M59" s="104"/>
      <c r="N59" s="104"/>
      <c r="O59" s="104"/>
      <c r="P59" s="104"/>
      <c r="Q59" s="104"/>
      <c r="R59" s="104"/>
      <c r="S59" s="147"/>
      <c r="T59" s="146"/>
      <c r="U59" s="542">
        <v>2</v>
      </c>
      <c r="V59" s="1305"/>
      <c r="W59" s="1306"/>
      <c r="X59" s="568"/>
      <c r="Y59" s="104"/>
      <c r="Z59" s="613"/>
      <c r="AC59" s="104"/>
      <c r="AD59" s="104"/>
      <c r="AE59" s="104"/>
      <c r="AF59" s="104"/>
      <c r="AG59" s="104"/>
      <c r="AH59" s="104"/>
      <c r="AI59" s="104"/>
      <c r="AJ59" s="104"/>
      <c r="AK59" s="104"/>
      <c r="AL59" s="147"/>
    </row>
    <row r="60" spans="1:38">
      <c r="A60" s="146"/>
      <c r="B60" s="542">
        <v>3</v>
      </c>
      <c r="C60" s="1305"/>
      <c r="D60" s="1306"/>
      <c r="E60" s="568"/>
      <c r="F60" s="104"/>
      <c r="G60" s="613"/>
      <c r="J60" s="104"/>
      <c r="K60" s="104"/>
      <c r="L60" s="104"/>
      <c r="M60" s="104"/>
      <c r="N60" s="104"/>
      <c r="O60" s="104"/>
      <c r="P60" s="104"/>
      <c r="Q60" s="104"/>
      <c r="R60" s="104"/>
      <c r="S60" s="147"/>
      <c r="T60" s="146"/>
      <c r="U60" s="542">
        <v>3</v>
      </c>
      <c r="V60" s="1305"/>
      <c r="W60" s="1306"/>
      <c r="X60" s="568"/>
      <c r="Y60" s="104"/>
      <c r="Z60" s="613"/>
      <c r="AC60" s="104"/>
      <c r="AD60" s="104"/>
      <c r="AE60" s="104"/>
      <c r="AF60" s="104"/>
      <c r="AG60" s="104"/>
      <c r="AH60" s="104"/>
      <c r="AI60" s="104"/>
      <c r="AJ60" s="104"/>
      <c r="AK60" s="104"/>
      <c r="AL60" s="147"/>
    </row>
    <row r="61" spans="1:38">
      <c r="A61" s="146"/>
      <c r="B61" s="542">
        <v>4</v>
      </c>
      <c r="C61" s="1305"/>
      <c r="D61" s="1306"/>
      <c r="E61" s="568"/>
      <c r="F61" s="104"/>
      <c r="G61" s="104"/>
      <c r="H61" s="104"/>
      <c r="I61" s="104"/>
      <c r="J61" s="104"/>
      <c r="K61" s="104"/>
      <c r="L61" s="104"/>
      <c r="M61" s="104"/>
      <c r="N61" s="104"/>
      <c r="O61" s="104"/>
      <c r="P61" s="104"/>
      <c r="Q61" s="104"/>
      <c r="R61" s="104"/>
      <c r="S61" s="147"/>
      <c r="T61" s="146"/>
      <c r="U61" s="542">
        <v>4</v>
      </c>
      <c r="V61" s="1305"/>
      <c r="W61" s="1306"/>
      <c r="X61" s="568"/>
      <c r="Y61" s="104"/>
      <c r="Z61" s="104"/>
      <c r="AA61" s="104"/>
      <c r="AB61" s="104"/>
      <c r="AC61" s="104"/>
      <c r="AD61" s="104"/>
      <c r="AE61" s="104"/>
      <c r="AF61" s="104"/>
      <c r="AG61" s="104"/>
      <c r="AH61" s="104"/>
      <c r="AI61" s="104"/>
      <c r="AJ61" s="104"/>
      <c r="AK61" s="104"/>
      <c r="AL61" s="147"/>
    </row>
    <row r="62" spans="1:38">
      <c r="A62" s="146"/>
      <c r="B62" s="542">
        <v>5</v>
      </c>
      <c r="C62" s="1305"/>
      <c r="D62" s="1306"/>
      <c r="E62" s="568"/>
      <c r="F62" s="104"/>
      <c r="G62" s="104"/>
      <c r="H62" s="104"/>
      <c r="I62" s="104"/>
      <c r="J62" s="104"/>
      <c r="K62" s="104"/>
      <c r="L62" s="104"/>
      <c r="M62" s="104"/>
      <c r="N62" s="104"/>
      <c r="O62" s="104"/>
      <c r="P62" s="104"/>
      <c r="Q62" s="104"/>
      <c r="R62" s="104"/>
      <c r="S62" s="147"/>
      <c r="T62" s="146"/>
      <c r="U62" s="542">
        <v>5</v>
      </c>
      <c r="V62" s="1305"/>
      <c r="W62" s="1306"/>
      <c r="X62" s="568"/>
      <c r="Y62" s="104"/>
      <c r="Z62" s="104"/>
      <c r="AA62" s="104"/>
      <c r="AB62" s="104"/>
      <c r="AC62" s="104"/>
      <c r="AD62" s="104"/>
      <c r="AE62" s="104"/>
      <c r="AF62" s="104"/>
      <c r="AG62" s="104"/>
      <c r="AH62" s="104"/>
      <c r="AI62" s="104"/>
      <c r="AJ62" s="104"/>
      <c r="AK62" s="104"/>
      <c r="AL62" s="147"/>
    </row>
    <row r="63" spans="1:38">
      <c r="A63" s="146"/>
      <c r="B63" s="542">
        <v>6</v>
      </c>
      <c r="C63" s="1305"/>
      <c r="D63" s="1306"/>
      <c r="E63" s="568"/>
      <c r="F63" s="104"/>
      <c r="G63" s="104"/>
      <c r="H63" s="104"/>
      <c r="I63" s="104"/>
      <c r="J63" s="104"/>
      <c r="K63" s="104"/>
      <c r="L63" s="104"/>
      <c r="M63" s="104"/>
      <c r="N63" s="104"/>
      <c r="O63" s="104"/>
      <c r="P63" s="104"/>
      <c r="Q63" s="104"/>
      <c r="R63" s="104"/>
      <c r="S63" s="147"/>
      <c r="T63" s="146"/>
      <c r="U63" s="542">
        <v>6</v>
      </c>
      <c r="V63" s="1305"/>
      <c r="W63" s="1306"/>
      <c r="X63" s="568"/>
      <c r="Y63" s="104"/>
      <c r="Z63" s="104"/>
      <c r="AA63" s="104"/>
      <c r="AB63" s="104"/>
      <c r="AC63" s="104"/>
      <c r="AD63" s="104"/>
      <c r="AE63" s="104"/>
      <c r="AF63" s="104"/>
      <c r="AG63" s="104"/>
      <c r="AH63" s="104"/>
      <c r="AI63" s="104"/>
      <c r="AJ63" s="104"/>
      <c r="AK63" s="104"/>
      <c r="AL63" s="147"/>
    </row>
    <row r="64" spans="1:38">
      <c r="A64" s="146"/>
      <c r="B64" s="542">
        <v>7</v>
      </c>
      <c r="C64" s="1305"/>
      <c r="D64" s="1306"/>
      <c r="E64" s="568"/>
      <c r="F64" s="104"/>
      <c r="G64" s="104"/>
      <c r="H64" s="104"/>
      <c r="I64" s="104"/>
      <c r="J64" s="104"/>
      <c r="K64" s="104"/>
      <c r="L64" s="104"/>
      <c r="M64" s="104"/>
      <c r="N64" s="104"/>
      <c r="O64" s="104"/>
      <c r="P64" s="104"/>
      <c r="Q64" s="104"/>
      <c r="R64" s="104"/>
      <c r="S64" s="147"/>
      <c r="T64" s="146"/>
      <c r="U64" s="542">
        <v>7</v>
      </c>
      <c r="V64" s="1305"/>
      <c r="W64" s="1306"/>
      <c r="X64" s="568"/>
      <c r="Y64" s="104"/>
      <c r="Z64" s="104"/>
      <c r="AA64" s="104"/>
      <c r="AB64" s="104"/>
      <c r="AC64" s="104"/>
      <c r="AD64" s="104"/>
      <c r="AE64" s="104"/>
      <c r="AF64" s="104"/>
      <c r="AG64" s="104"/>
      <c r="AH64" s="104"/>
      <c r="AI64" s="104"/>
      <c r="AJ64" s="104"/>
      <c r="AK64" s="104"/>
      <c r="AL64" s="147"/>
    </row>
    <row r="65" spans="1:38">
      <c r="A65" s="146"/>
      <c r="B65" s="542">
        <v>8</v>
      </c>
      <c r="C65" s="1305"/>
      <c r="D65" s="1306"/>
      <c r="E65" s="568"/>
      <c r="F65" s="104"/>
      <c r="G65" s="104"/>
      <c r="H65" s="104"/>
      <c r="I65" s="104"/>
      <c r="J65" s="104"/>
      <c r="K65" s="104"/>
      <c r="L65" s="104"/>
      <c r="M65" s="104"/>
      <c r="N65" s="104"/>
      <c r="O65" s="104"/>
      <c r="P65" s="104"/>
      <c r="Q65" s="104"/>
      <c r="R65" s="104"/>
      <c r="S65" s="147"/>
      <c r="T65" s="146"/>
      <c r="U65" s="542">
        <v>8</v>
      </c>
      <c r="V65" s="1305"/>
      <c r="W65" s="1306"/>
      <c r="X65" s="568"/>
      <c r="Y65" s="104"/>
      <c r="Z65" s="104"/>
      <c r="AA65" s="104"/>
      <c r="AB65" s="104"/>
      <c r="AC65" s="104"/>
      <c r="AD65" s="104"/>
      <c r="AE65" s="104"/>
      <c r="AF65" s="104"/>
      <c r="AG65" s="104"/>
      <c r="AH65" s="104"/>
      <c r="AI65" s="104"/>
      <c r="AJ65" s="104"/>
      <c r="AK65" s="104"/>
      <c r="AL65" s="147"/>
    </row>
    <row r="66" spans="1:38">
      <c r="A66" s="146"/>
      <c r="B66" s="542">
        <v>9</v>
      </c>
      <c r="C66" s="1305"/>
      <c r="D66" s="1306"/>
      <c r="E66" s="568"/>
      <c r="F66" s="104"/>
      <c r="G66" s="104"/>
      <c r="H66" s="104"/>
      <c r="I66" s="104"/>
      <c r="J66" s="104"/>
      <c r="K66" s="104"/>
      <c r="L66" s="104"/>
      <c r="M66" s="104"/>
      <c r="N66" s="104"/>
      <c r="O66" s="104"/>
      <c r="P66" s="104"/>
      <c r="Q66" s="104"/>
      <c r="R66" s="104"/>
      <c r="S66" s="147"/>
      <c r="T66" s="146"/>
      <c r="U66" s="542">
        <v>9</v>
      </c>
      <c r="V66" s="1305"/>
      <c r="W66" s="1306"/>
      <c r="X66" s="568"/>
      <c r="Y66" s="104"/>
      <c r="Z66" s="104"/>
      <c r="AA66" s="104"/>
      <c r="AB66" s="104"/>
      <c r="AC66" s="104"/>
      <c r="AD66" s="104"/>
      <c r="AE66" s="104"/>
      <c r="AF66" s="104"/>
      <c r="AG66" s="104"/>
      <c r="AH66" s="104"/>
      <c r="AI66" s="104"/>
      <c r="AJ66" s="104"/>
      <c r="AK66" s="104"/>
      <c r="AL66" s="147"/>
    </row>
    <row r="67" spans="1:38">
      <c r="A67" s="146"/>
      <c r="B67" s="542">
        <v>10</v>
      </c>
      <c r="C67" s="1305"/>
      <c r="D67" s="1306"/>
      <c r="E67" s="568"/>
      <c r="F67" s="104"/>
      <c r="G67" s="104"/>
      <c r="H67" s="104"/>
      <c r="I67" s="104"/>
      <c r="J67" s="104"/>
      <c r="K67" s="104"/>
      <c r="L67" s="104"/>
      <c r="M67" s="104"/>
      <c r="N67" s="104"/>
      <c r="O67" s="104"/>
      <c r="P67" s="104"/>
      <c r="Q67" s="104"/>
      <c r="R67" s="104"/>
      <c r="S67" s="147"/>
      <c r="T67" s="146"/>
      <c r="U67" s="542">
        <v>10</v>
      </c>
      <c r="V67" s="1305"/>
      <c r="W67" s="1306"/>
      <c r="X67" s="568"/>
      <c r="Y67" s="104"/>
      <c r="Z67" s="104"/>
      <c r="AA67" s="104"/>
      <c r="AB67" s="104"/>
      <c r="AC67" s="104"/>
      <c r="AD67" s="104"/>
      <c r="AE67" s="104"/>
      <c r="AF67" s="104"/>
      <c r="AG67" s="104"/>
      <c r="AH67" s="104"/>
      <c r="AI67" s="104"/>
      <c r="AJ67" s="104"/>
      <c r="AK67" s="104"/>
      <c r="AL67" s="147"/>
    </row>
    <row r="68" spans="1:38">
      <c r="A68" s="146"/>
      <c r="B68" s="542">
        <v>11</v>
      </c>
      <c r="C68" s="1305"/>
      <c r="D68" s="1306"/>
      <c r="E68" s="568"/>
      <c r="F68" s="104"/>
      <c r="G68" s="104"/>
      <c r="H68" s="104"/>
      <c r="I68" s="104"/>
      <c r="J68" s="104"/>
      <c r="K68" s="104"/>
      <c r="L68" s="104"/>
      <c r="M68" s="104"/>
      <c r="N68" s="104"/>
      <c r="O68" s="104"/>
      <c r="P68" s="104"/>
      <c r="Q68" s="104"/>
      <c r="R68" s="104"/>
      <c r="S68" s="147"/>
      <c r="T68" s="146"/>
      <c r="U68" s="542">
        <v>11</v>
      </c>
      <c r="V68" s="1305"/>
      <c r="W68" s="1306"/>
      <c r="X68" s="568"/>
      <c r="Y68" s="104"/>
      <c r="Z68" s="104"/>
      <c r="AA68" s="104"/>
      <c r="AB68" s="104"/>
      <c r="AC68" s="104"/>
      <c r="AD68" s="104"/>
      <c r="AE68" s="104"/>
      <c r="AF68" s="104"/>
      <c r="AG68" s="104"/>
      <c r="AH68" s="104"/>
      <c r="AI68" s="104"/>
      <c r="AJ68" s="104"/>
      <c r="AK68" s="104"/>
      <c r="AL68" s="147"/>
    </row>
    <row r="69" spans="1:38">
      <c r="A69" s="146"/>
      <c r="B69" s="542">
        <v>12</v>
      </c>
      <c r="C69" s="1305"/>
      <c r="D69" s="1306"/>
      <c r="E69" s="568"/>
      <c r="F69" s="104"/>
      <c r="G69" s="104"/>
      <c r="H69" s="104"/>
      <c r="I69" s="104"/>
      <c r="J69" s="104"/>
      <c r="K69" s="104"/>
      <c r="L69" s="104"/>
      <c r="M69" s="104"/>
      <c r="N69" s="104"/>
      <c r="O69" s="104"/>
      <c r="P69" s="104"/>
      <c r="Q69" s="104"/>
      <c r="R69" s="104"/>
      <c r="S69" s="147"/>
      <c r="T69" s="146"/>
      <c r="U69" s="542">
        <v>12</v>
      </c>
      <c r="V69" s="1305"/>
      <c r="W69" s="1306"/>
      <c r="X69" s="568"/>
      <c r="Y69" s="104"/>
      <c r="Z69" s="104"/>
      <c r="AA69" s="104"/>
      <c r="AB69" s="104"/>
      <c r="AC69" s="104"/>
      <c r="AD69" s="104"/>
      <c r="AE69" s="104"/>
      <c r="AF69" s="104"/>
      <c r="AG69" s="104"/>
      <c r="AH69" s="104"/>
      <c r="AI69" s="104"/>
      <c r="AJ69" s="104"/>
      <c r="AK69" s="104"/>
      <c r="AL69" s="147"/>
    </row>
    <row r="70" spans="1:38">
      <c r="A70" s="146"/>
      <c r="B70" s="542">
        <v>13</v>
      </c>
      <c r="C70" s="1305"/>
      <c r="D70" s="1306"/>
      <c r="E70" s="568"/>
      <c r="F70" s="104"/>
      <c r="G70" s="104"/>
      <c r="H70" s="104"/>
      <c r="I70" s="104"/>
      <c r="J70" s="104"/>
      <c r="K70" s="104"/>
      <c r="L70" s="104"/>
      <c r="M70" s="104"/>
      <c r="N70" s="104"/>
      <c r="O70" s="104"/>
      <c r="P70" s="104"/>
      <c r="Q70" s="104"/>
      <c r="R70" s="104"/>
      <c r="S70" s="147"/>
      <c r="T70" s="146"/>
      <c r="U70" s="542">
        <v>13</v>
      </c>
      <c r="V70" s="1305"/>
      <c r="W70" s="1306"/>
      <c r="X70" s="568"/>
      <c r="Y70" s="104"/>
      <c r="Z70" s="104"/>
      <c r="AA70" s="104"/>
      <c r="AB70" s="104"/>
      <c r="AC70" s="104"/>
      <c r="AD70" s="104"/>
      <c r="AE70" s="104"/>
      <c r="AF70" s="104"/>
      <c r="AG70" s="104"/>
      <c r="AH70" s="104"/>
      <c r="AI70" s="104"/>
      <c r="AJ70" s="104"/>
      <c r="AK70" s="104"/>
      <c r="AL70" s="147"/>
    </row>
    <row r="71" spans="1:38">
      <c r="A71" s="146"/>
      <c r="B71" s="542">
        <v>14</v>
      </c>
      <c r="C71" s="1305"/>
      <c r="D71" s="1306"/>
      <c r="E71" s="568"/>
      <c r="F71" s="104"/>
      <c r="G71" s="104"/>
      <c r="H71" s="104"/>
      <c r="I71" s="104"/>
      <c r="J71" s="104"/>
      <c r="K71" s="104"/>
      <c r="L71" s="104"/>
      <c r="M71" s="104"/>
      <c r="N71" s="104"/>
      <c r="O71" s="104"/>
      <c r="P71" s="104"/>
      <c r="Q71" s="104"/>
      <c r="R71" s="104"/>
      <c r="S71" s="147"/>
      <c r="T71" s="146"/>
      <c r="U71" s="542">
        <v>14</v>
      </c>
      <c r="V71" s="1305"/>
      <c r="W71" s="1306"/>
      <c r="X71" s="568"/>
      <c r="Y71" s="104"/>
      <c r="Z71" s="104"/>
      <c r="AA71" s="104"/>
      <c r="AB71" s="104"/>
      <c r="AC71" s="104"/>
      <c r="AD71" s="104"/>
      <c r="AE71" s="104"/>
      <c r="AF71" s="104"/>
      <c r="AG71" s="104"/>
      <c r="AH71" s="104"/>
      <c r="AI71" s="104"/>
      <c r="AJ71" s="104"/>
      <c r="AK71" s="104"/>
      <c r="AL71" s="147"/>
    </row>
    <row r="72" spans="1:38">
      <c r="A72" s="146"/>
      <c r="B72" s="542">
        <v>15</v>
      </c>
      <c r="C72" s="1305"/>
      <c r="D72" s="1306"/>
      <c r="E72" s="568"/>
      <c r="F72" s="104"/>
      <c r="G72" s="104"/>
      <c r="H72" s="104"/>
      <c r="I72" s="104"/>
      <c r="J72" s="104"/>
      <c r="K72" s="104"/>
      <c r="L72" s="104"/>
      <c r="M72" s="104"/>
      <c r="N72" s="104"/>
      <c r="O72" s="104"/>
      <c r="P72" s="104"/>
      <c r="Q72" s="104"/>
      <c r="R72" s="104"/>
      <c r="S72" s="147"/>
      <c r="T72" s="146"/>
      <c r="U72" s="542">
        <v>15</v>
      </c>
      <c r="V72" s="1305"/>
      <c r="W72" s="1306"/>
      <c r="X72" s="568"/>
      <c r="Y72" s="104"/>
      <c r="Z72" s="104"/>
      <c r="AA72" s="104"/>
      <c r="AB72" s="104"/>
      <c r="AC72" s="104"/>
      <c r="AD72" s="104"/>
      <c r="AE72" s="104"/>
      <c r="AF72" s="104"/>
      <c r="AG72" s="104"/>
      <c r="AH72" s="104"/>
      <c r="AI72" s="104"/>
      <c r="AJ72" s="104"/>
      <c r="AK72" s="104"/>
      <c r="AL72" s="147"/>
    </row>
    <row r="73" spans="1:38">
      <c r="A73" s="146"/>
      <c r="B73" s="542">
        <v>16</v>
      </c>
      <c r="C73" s="1305"/>
      <c r="D73" s="1306"/>
      <c r="E73" s="568"/>
      <c r="F73" s="104"/>
      <c r="G73" s="104"/>
      <c r="H73" s="104"/>
      <c r="I73" s="104"/>
      <c r="J73" s="104"/>
      <c r="K73" s="104"/>
      <c r="L73" s="104"/>
      <c r="M73" s="104"/>
      <c r="N73" s="104"/>
      <c r="O73" s="104"/>
      <c r="P73" s="104"/>
      <c r="Q73" s="104"/>
      <c r="R73" s="104"/>
      <c r="S73" s="147"/>
      <c r="T73" s="146"/>
      <c r="U73" s="542">
        <v>16</v>
      </c>
      <c r="V73" s="1305"/>
      <c r="W73" s="1306"/>
      <c r="X73" s="568"/>
      <c r="Y73" s="104"/>
      <c r="Z73" s="104"/>
      <c r="AA73" s="104"/>
      <c r="AB73" s="104"/>
      <c r="AC73" s="104"/>
      <c r="AD73" s="104"/>
      <c r="AE73" s="104"/>
      <c r="AF73" s="104"/>
      <c r="AG73" s="104"/>
      <c r="AH73" s="104"/>
      <c r="AI73" s="104"/>
      <c r="AJ73" s="104"/>
      <c r="AK73" s="104"/>
      <c r="AL73" s="147"/>
    </row>
    <row r="74" spans="1:38">
      <c r="A74" s="146"/>
      <c r="B74" s="542">
        <v>17</v>
      </c>
      <c r="C74" s="1305"/>
      <c r="D74" s="1306"/>
      <c r="E74" s="568"/>
      <c r="F74" s="104"/>
      <c r="G74" s="104"/>
      <c r="H74" s="104"/>
      <c r="I74" s="104"/>
      <c r="J74" s="104"/>
      <c r="K74" s="104"/>
      <c r="L74" s="104"/>
      <c r="M74" s="104"/>
      <c r="N74" s="104"/>
      <c r="O74" s="104"/>
      <c r="P74" s="104"/>
      <c r="Q74" s="104"/>
      <c r="R74" s="104"/>
      <c r="S74" s="147"/>
      <c r="T74" s="146"/>
      <c r="U74" s="542">
        <v>17</v>
      </c>
      <c r="V74" s="1305"/>
      <c r="W74" s="1306"/>
      <c r="X74" s="568"/>
      <c r="Y74" s="104"/>
      <c r="Z74" s="104"/>
      <c r="AA74" s="104"/>
      <c r="AB74" s="104"/>
      <c r="AC74" s="104"/>
      <c r="AD74" s="104"/>
      <c r="AE74" s="104"/>
      <c r="AF74" s="104"/>
      <c r="AG74" s="104"/>
      <c r="AH74" s="104"/>
      <c r="AI74" s="104"/>
      <c r="AJ74" s="104"/>
      <c r="AK74" s="104"/>
      <c r="AL74" s="147"/>
    </row>
    <row r="75" spans="1:38">
      <c r="A75" s="146"/>
      <c r="B75" s="542">
        <v>18</v>
      </c>
      <c r="C75" s="1305"/>
      <c r="D75" s="1306"/>
      <c r="E75" s="568"/>
      <c r="F75" s="104"/>
      <c r="G75" s="104"/>
      <c r="H75" s="104"/>
      <c r="I75" s="104"/>
      <c r="J75" s="104"/>
      <c r="K75" s="104"/>
      <c r="L75" s="104"/>
      <c r="M75" s="104"/>
      <c r="N75" s="104"/>
      <c r="O75" s="104"/>
      <c r="P75" s="104"/>
      <c r="Q75" s="104"/>
      <c r="R75" s="104"/>
      <c r="S75" s="147"/>
      <c r="T75" s="146"/>
      <c r="U75" s="542">
        <v>18</v>
      </c>
      <c r="V75" s="1305"/>
      <c r="W75" s="1306"/>
      <c r="X75" s="568"/>
      <c r="Y75" s="104"/>
      <c r="Z75" s="104"/>
      <c r="AA75" s="104"/>
      <c r="AB75" s="104"/>
      <c r="AC75" s="104"/>
      <c r="AD75" s="104"/>
      <c r="AE75" s="104"/>
      <c r="AF75" s="104"/>
      <c r="AG75" s="104"/>
      <c r="AH75" s="104"/>
      <c r="AI75" s="104"/>
      <c r="AJ75" s="104"/>
      <c r="AK75" s="104"/>
      <c r="AL75" s="147"/>
    </row>
    <row r="76" spans="1:38">
      <c r="A76" s="146"/>
      <c r="B76" s="542">
        <v>19</v>
      </c>
      <c r="C76" s="1305"/>
      <c r="D76" s="1306"/>
      <c r="E76" s="568"/>
      <c r="F76" s="104"/>
      <c r="G76" s="104"/>
      <c r="H76" s="104"/>
      <c r="I76" s="104"/>
      <c r="J76" s="104"/>
      <c r="K76" s="104"/>
      <c r="L76" s="104"/>
      <c r="M76" s="104"/>
      <c r="N76" s="104"/>
      <c r="O76" s="104"/>
      <c r="P76" s="104"/>
      <c r="Q76" s="104"/>
      <c r="R76" s="104"/>
      <c r="S76" s="147"/>
      <c r="T76" s="146"/>
      <c r="U76" s="542">
        <v>19</v>
      </c>
      <c r="V76" s="1305"/>
      <c r="W76" s="1306"/>
      <c r="X76" s="568"/>
      <c r="Y76" s="104"/>
      <c r="Z76" s="104"/>
      <c r="AA76" s="104"/>
      <c r="AB76" s="104"/>
      <c r="AC76" s="104"/>
      <c r="AD76" s="104"/>
      <c r="AE76" s="104"/>
      <c r="AF76" s="104"/>
      <c r="AG76" s="104"/>
      <c r="AH76" s="104"/>
      <c r="AI76" s="104"/>
      <c r="AJ76" s="104"/>
      <c r="AK76" s="104"/>
      <c r="AL76" s="147"/>
    </row>
    <row r="77" spans="1:38">
      <c r="A77" s="146"/>
      <c r="B77" s="542">
        <v>20</v>
      </c>
      <c r="C77" s="1305"/>
      <c r="D77" s="1306"/>
      <c r="E77" s="568"/>
      <c r="F77" s="104"/>
      <c r="G77" s="104"/>
      <c r="H77" s="104"/>
      <c r="I77" s="104"/>
      <c r="J77" s="104"/>
      <c r="K77" s="104"/>
      <c r="L77" s="104"/>
      <c r="M77" s="104"/>
      <c r="N77" s="104"/>
      <c r="O77" s="104"/>
      <c r="P77" s="104"/>
      <c r="Q77" s="104"/>
      <c r="R77" s="104"/>
      <c r="S77" s="147"/>
      <c r="T77" s="146"/>
      <c r="U77" s="542">
        <v>20</v>
      </c>
      <c r="V77" s="1305"/>
      <c r="W77" s="1306"/>
      <c r="X77" s="568"/>
      <c r="Y77" s="104"/>
      <c r="Z77" s="104"/>
      <c r="AA77" s="104"/>
      <c r="AB77" s="104"/>
      <c r="AC77" s="104"/>
      <c r="AD77" s="104"/>
      <c r="AE77" s="104"/>
      <c r="AF77" s="104"/>
      <c r="AG77" s="104"/>
      <c r="AH77" s="104"/>
      <c r="AI77" s="104"/>
      <c r="AJ77" s="104"/>
      <c r="AK77" s="104"/>
      <c r="AL77" s="147"/>
    </row>
    <row r="78" spans="1:38">
      <c r="A78" s="146"/>
      <c r="B78" s="542">
        <v>21</v>
      </c>
      <c r="C78" s="1305"/>
      <c r="D78" s="1306"/>
      <c r="E78" s="568"/>
      <c r="F78" s="104"/>
      <c r="G78" s="104"/>
      <c r="H78" s="104"/>
      <c r="I78" s="104"/>
      <c r="J78" s="104"/>
      <c r="K78" s="104"/>
      <c r="L78" s="104"/>
      <c r="M78" s="104"/>
      <c r="N78" s="104"/>
      <c r="O78" s="104"/>
      <c r="P78" s="104"/>
      <c r="Q78" s="104"/>
      <c r="R78" s="104"/>
      <c r="S78" s="147"/>
      <c r="T78" s="146"/>
      <c r="U78" s="542">
        <v>21</v>
      </c>
      <c r="V78" s="1305"/>
      <c r="W78" s="1306"/>
      <c r="X78" s="568"/>
      <c r="Y78" s="104"/>
      <c r="Z78" s="104"/>
      <c r="AA78" s="104"/>
      <c r="AB78" s="104"/>
      <c r="AC78" s="104"/>
      <c r="AD78" s="104"/>
      <c r="AE78" s="104"/>
      <c r="AF78" s="104"/>
      <c r="AG78" s="104"/>
      <c r="AH78" s="104"/>
      <c r="AI78" s="104"/>
      <c r="AJ78" s="104"/>
      <c r="AK78" s="104"/>
      <c r="AL78" s="147"/>
    </row>
    <row r="79" spans="1:38">
      <c r="A79" s="146"/>
      <c r="B79" s="542">
        <v>22</v>
      </c>
      <c r="C79" s="1305"/>
      <c r="D79" s="1306"/>
      <c r="E79" s="568"/>
      <c r="F79" s="104"/>
      <c r="G79" s="104"/>
      <c r="H79" s="104"/>
      <c r="I79" s="104"/>
      <c r="J79" s="104"/>
      <c r="K79" s="104"/>
      <c r="L79" s="104"/>
      <c r="M79" s="104"/>
      <c r="N79" s="104"/>
      <c r="O79" s="104"/>
      <c r="P79" s="104"/>
      <c r="Q79" s="104"/>
      <c r="R79" s="104"/>
      <c r="S79" s="147"/>
      <c r="T79" s="146"/>
      <c r="U79" s="542">
        <v>22</v>
      </c>
      <c r="V79" s="1305"/>
      <c r="W79" s="1306"/>
      <c r="X79" s="568"/>
      <c r="Y79" s="104"/>
      <c r="Z79" s="104"/>
      <c r="AA79" s="104"/>
      <c r="AB79" s="104"/>
      <c r="AC79" s="104"/>
      <c r="AD79" s="104"/>
      <c r="AE79" s="104"/>
      <c r="AF79" s="104"/>
      <c r="AG79" s="104"/>
      <c r="AH79" s="104"/>
      <c r="AI79" s="104"/>
      <c r="AJ79" s="104"/>
      <c r="AK79" s="104"/>
      <c r="AL79" s="147"/>
    </row>
    <row r="80" spans="1:38">
      <c r="A80" s="146"/>
      <c r="B80" s="542">
        <v>23</v>
      </c>
      <c r="C80" s="1305"/>
      <c r="D80" s="1306"/>
      <c r="E80" s="568"/>
      <c r="F80" s="104"/>
      <c r="G80" s="104"/>
      <c r="H80" s="104"/>
      <c r="I80" s="104"/>
      <c r="J80" s="104"/>
      <c r="K80" s="104"/>
      <c r="L80" s="104"/>
      <c r="M80" s="104"/>
      <c r="N80" s="104"/>
      <c r="O80" s="104"/>
      <c r="P80" s="104"/>
      <c r="Q80" s="104"/>
      <c r="R80" s="104"/>
      <c r="S80" s="147"/>
      <c r="T80" s="146"/>
      <c r="U80" s="542">
        <v>23</v>
      </c>
      <c r="V80" s="1305"/>
      <c r="W80" s="1306"/>
      <c r="X80" s="568"/>
      <c r="Y80" s="104"/>
      <c r="Z80" s="104"/>
      <c r="AA80" s="104"/>
      <c r="AB80" s="104"/>
      <c r="AC80" s="104"/>
      <c r="AD80" s="104"/>
      <c r="AE80" s="104"/>
      <c r="AF80" s="104"/>
      <c r="AG80" s="104"/>
      <c r="AH80" s="104"/>
      <c r="AI80" s="104"/>
      <c r="AJ80" s="104"/>
      <c r="AK80" s="104"/>
      <c r="AL80" s="147"/>
    </row>
    <row r="81" spans="1:38">
      <c r="A81" s="146"/>
      <c r="B81" s="542">
        <v>24</v>
      </c>
      <c r="C81" s="1305"/>
      <c r="D81" s="1306"/>
      <c r="E81" s="568"/>
      <c r="F81" s="104"/>
      <c r="G81" s="104"/>
      <c r="H81" s="104"/>
      <c r="I81" s="104"/>
      <c r="J81" s="104"/>
      <c r="K81" s="104"/>
      <c r="L81" s="104"/>
      <c r="M81" s="104"/>
      <c r="N81" s="104"/>
      <c r="O81" s="104"/>
      <c r="P81" s="104"/>
      <c r="Q81" s="104"/>
      <c r="R81" s="104"/>
      <c r="S81" s="147"/>
      <c r="T81" s="146"/>
      <c r="U81" s="542">
        <v>24</v>
      </c>
      <c r="V81" s="1305"/>
      <c r="W81" s="1306"/>
      <c r="X81" s="568"/>
      <c r="Y81" s="104"/>
      <c r="Z81" s="104"/>
      <c r="AA81" s="104"/>
      <c r="AB81" s="104"/>
      <c r="AC81" s="104"/>
      <c r="AD81" s="104"/>
      <c r="AE81" s="104"/>
      <c r="AF81" s="104"/>
      <c r="AG81" s="104"/>
      <c r="AH81" s="104"/>
      <c r="AI81" s="104"/>
      <c r="AJ81" s="104"/>
      <c r="AK81" s="104"/>
      <c r="AL81" s="147"/>
    </row>
    <row r="82" spans="1:38">
      <c r="A82" s="146"/>
      <c r="B82" s="542">
        <v>25</v>
      </c>
      <c r="C82" s="1305"/>
      <c r="D82" s="1306"/>
      <c r="E82" s="568"/>
      <c r="F82" s="104"/>
      <c r="G82" s="104"/>
      <c r="H82" s="104"/>
      <c r="I82" s="104"/>
      <c r="J82" s="104"/>
      <c r="K82" s="104"/>
      <c r="L82" s="104"/>
      <c r="M82" s="104"/>
      <c r="N82" s="104"/>
      <c r="O82" s="104"/>
      <c r="P82" s="104"/>
      <c r="Q82" s="104"/>
      <c r="R82" s="104"/>
      <c r="S82" s="147"/>
      <c r="T82" s="146"/>
      <c r="U82" s="542">
        <v>25</v>
      </c>
      <c r="V82" s="1305"/>
      <c r="W82" s="1306"/>
      <c r="X82" s="568"/>
      <c r="Y82" s="104"/>
      <c r="Z82" s="104"/>
      <c r="AA82" s="104"/>
      <c r="AB82" s="104"/>
      <c r="AC82" s="104"/>
      <c r="AD82" s="104"/>
      <c r="AE82" s="104"/>
      <c r="AF82" s="104"/>
      <c r="AG82" s="104"/>
      <c r="AH82" s="104"/>
      <c r="AI82" s="104"/>
      <c r="AJ82" s="104"/>
      <c r="AK82" s="104"/>
      <c r="AL82" s="147"/>
    </row>
    <row r="83" spans="1:38">
      <c r="A83" s="146"/>
      <c r="B83" s="542">
        <v>26</v>
      </c>
      <c r="C83" s="1305"/>
      <c r="D83" s="1306"/>
      <c r="E83" s="568"/>
      <c r="F83" s="104"/>
      <c r="G83" s="104"/>
      <c r="H83" s="104"/>
      <c r="I83" s="104"/>
      <c r="J83" s="104"/>
      <c r="K83" s="104"/>
      <c r="L83" s="104"/>
      <c r="M83" s="104"/>
      <c r="N83" s="104"/>
      <c r="O83" s="104"/>
      <c r="P83" s="104"/>
      <c r="Q83" s="104"/>
      <c r="R83" s="104"/>
      <c r="S83" s="147"/>
      <c r="T83" s="146"/>
      <c r="U83" s="542">
        <v>26</v>
      </c>
      <c r="V83" s="1305"/>
      <c r="W83" s="1306"/>
      <c r="X83" s="568"/>
      <c r="Y83" s="104"/>
      <c r="Z83" s="104"/>
      <c r="AA83" s="104"/>
      <c r="AB83" s="104"/>
      <c r="AC83" s="104"/>
      <c r="AD83" s="104"/>
      <c r="AE83" s="104"/>
      <c r="AF83" s="104"/>
      <c r="AG83" s="104"/>
      <c r="AH83" s="104"/>
      <c r="AI83" s="104"/>
      <c r="AJ83" s="104"/>
      <c r="AK83" s="104"/>
      <c r="AL83" s="147"/>
    </row>
    <row r="84" spans="1:38">
      <c r="A84" s="146"/>
      <c r="B84" s="542">
        <v>27</v>
      </c>
      <c r="C84" s="1305"/>
      <c r="D84" s="1306"/>
      <c r="E84" s="568"/>
      <c r="F84" s="104"/>
      <c r="G84" s="104"/>
      <c r="H84" s="104"/>
      <c r="I84" s="104"/>
      <c r="J84" s="104"/>
      <c r="K84" s="104"/>
      <c r="L84" s="104"/>
      <c r="M84" s="104"/>
      <c r="N84" s="104"/>
      <c r="O84" s="104"/>
      <c r="P84" s="104"/>
      <c r="Q84" s="104"/>
      <c r="R84" s="104"/>
      <c r="S84" s="147"/>
      <c r="T84" s="146"/>
      <c r="U84" s="542">
        <v>27</v>
      </c>
      <c r="V84" s="1305"/>
      <c r="W84" s="1306"/>
      <c r="X84" s="568"/>
      <c r="Y84" s="104"/>
      <c r="Z84" s="104"/>
      <c r="AA84" s="104"/>
      <c r="AB84" s="104"/>
      <c r="AC84" s="104"/>
      <c r="AD84" s="104"/>
      <c r="AE84" s="104"/>
      <c r="AF84" s="104"/>
      <c r="AG84" s="104"/>
      <c r="AH84" s="104"/>
      <c r="AI84" s="104"/>
      <c r="AJ84" s="104"/>
      <c r="AK84" s="104"/>
      <c r="AL84" s="147"/>
    </row>
    <row r="85" spans="1:38">
      <c r="A85" s="146"/>
      <c r="B85" s="542">
        <v>28</v>
      </c>
      <c r="C85" s="1305"/>
      <c r="D85" s="1306"/>
      <c r="E85" s="568"/>
      <c r="F85" s="104"/>
      <c r="G85" s="104"/>
      <c r="H85" s="104"/>
      <c r="I85" s="104"/>
      <c r="J85" s="104"/>
      <c r="K85" s="104"/>
      <c r="L85" s="104"/>
      <c r="M85" s="104"/>
      <c r="N85" s="104"/>
      <c r="O85" s="104"/>
      <c r="P85" s="104"/>
      <c r="Q85" s="104"/>
      <c r="R85" s="104"/>
      <c r="S85" s="147"/>
      <c r="T85" s="146"/>
      <c r="U85" s="542">
        <v>28</v>
      </c>
      <c r="V85" s="1305"/>
      <c r="W85" s="1306"/>
      <c r="X85" s="568"/>
      <c r="Y85" s="104"/>
      <c r="Z85" s="104"/>
      <c r="AA85" s="104"/>
      <c r="AB85" s="104"/>
      <c r="AC85" s="104"/>
      <c r="AD85" s="104"/>
      <c r="AE85" s="104"/>
      <c r="AF85" s="104"/>
      <c r="AG85" s="104"/>
      <c r="AH85" s="104"/>
      <c r="AI85" s="104"/>
      <c r="AJ85" s="104"/>
      <c r="AK85" s="104"/>
      <c r="AL85" s="147"/>
    </row>
    <row r="86" spans="1:38">
      <c r="A86" s="146"/>
      <c r="B86" s="542">
        <v>29</v>
      </c>
      <c r="C86" s="1305"/>
      <c r="D86" s="1306"/>
      <c r="E86" s="568"/>
      <c r="F86" s="104"/>
      <c r="G86" s="104"/>
      <c r="H86" s="104"/>
      <c r="I86" s="104"/>
      <c r="J86" s="104"/>
      <c r="K86" s="104"/>
      <c r="L86" s="104"/>
      <c r="M86" s="104"/>
      <c r="N86" s="104"/>
      <c r="O86" s="104"/>
      <c r="P86" s="104"/>
      <c r="Q86" s="104"/>
      <c r="R86" s="104"/>
      <c r="S86" s="147"/>
      <c r="T86" s="146"/>
      <c r="U86" s="542">
        <v>29</v>
      </c>
      <c r="V86" s="1305"/>
      <c r="W86" s="1306"/>
      <c r="X86" s="568"/>
      <c r="Y86" s="104"/>
      <c r="Z86" s="104"/>
      <c r="AA86" s="104"/>
      <c r="AB86" s="104"/>
      <c r="AC86" s="104"/>
      <c r="AD86" s="104"/>
      <c r="AE86" s="104"/>
      <c r="AF86" s="104"/>
      <c r="AG86" s="104"/>
      <c r="AH86" s="104"/>
      <c r="AI86" s="104"/>
      <c r="AJ86" s="104"/>
      <c r="AK86" s="104"/>
      <c r="AL86" s="147"/>
    </row>
    <row r="87" spans="1:38">
      <c r="A87" s="146"/>
      <c r="B87" s="542">
        <v>30</v>
      </c>
      <c r="C87" s="1305"/>
      <c r="D87" s="1306"/>
      <c r="E87" s="568"/>
      <c r="F87" s="104"/>
      <c r="G87" s="104"/>
      <c r="H87" s="104"/>
      <c r="I87" s="104"/>
      <c r="J87" s="104"/>
      <c r="K87" s="104"/>
      <c r="L87" s="104"/>
      <c r="M87" s="104"/>
      <c r="N87" s="104"/>
      <c r="O87" s="104"/>
      <c r="P87" s="104"/>
      <c r="Q87" s="104"/>
      <c r="R87" s="104"/>
      <c r="S87" s="147"/>
      <c r="T87" s="146"/>
      <c r="U87" s="542">
        <v>30</v>
      </c>
      <c r="V87" s="1305"/>
      <c r="W87" s="1306"/>
      <c r="X87" s="568"/>
      <c r="Y87" s="104"/>
      <c r="Z87" s="104"/>
      <c r="AA87" s="104"/>
      <c r="AB87" s="104"/>
      <c r="AC87" s="104"/>
      <c r="AD87" s="104"/>
      <c r="AE87" s="104"/>
      <c r="AF87" s="104"/>
      <c r="AG87" s="104"/>
      <c r="AH87" s="104"/>
      <c r="AI87" s="104"/>
      <c r="AJ87" s="104"/>
      <c r="AK87" s="104"/>
      <c r="AL87" s="147"/>
    </row>
    <row r="88" spans="1:38">
      <c r="A88" s="146"/>
      <c r="B88" s="542">
        <v>31</v>
      </c>
      <c r="C88" s="1305"/>
      <c r="D88" s="1306"/>
      <c r="E88" s="568"/>
      <c r="F88" s="104"/>
      <c r="G88" s="104"/>
      <c r="H88" s="104"/>
      <c r="I88" s="104"/>
      <c r="J88" s="104"/>
      <c r="K88" s="104"/>
      <c r="L88" s="104"/>
      <c r="M88" s="104"/>
      <c r="N88" s="104"/>
      <c r="O88" s="104"/>
      <c r="P88" s="104"/>
      <c r="Q88" s="104"/>
      <c r="R88" s="104"/>
      <c r="S88" s="147"/>
      <c r="T88" s="146"/>
      <c r="U88" s="542">
        <v>31</v>
      </c>
      <c r="V88" s="1305"/>
      <c r="W88" s="1306"/>
      <c r="X88" s="568"/>
      <c r="Y88" s="104"/>
      <c r="Z88" s="104"/>
      <c r="AA88" s="104"/>
      <c r="AB88" s="104"/>
      <c r="AC88" s="104"/>
      <c r="AD88" s="104"/>
      <c r="AE88" s="104"/>
      <c r="AF88" s="104"/>
      <c r="AG88" s="104"/>
      <c r="AH88" s="104"/>
      <c r="AI88" s="104"/>
      <c r="AJ88" s="104"/>
      <c r="AK88" s="104"/>
      <c r="AL88" s="147"/>
    </row>
    <row r="89" spans="1:38">
      <c r="A89" s="146"/>
      <c r="B89" s="542">
        <v>32</v>
      </c>
      <c r="C89" s="1305"/>
      <c r="D89" s="1306"/>
      <c r="E89" s="568"/>
      <c r="F89" s="104"/>
      <c r="G89" s="104"/>
      <c r="H89" s="104"/>
      <c r="I89" s="104"/>
      <c r="J89" s="104"/>
      <c r="K89" s="104"/>
      <c r="L89" s="104"/>
      <c r="M89" s="104"/>
      <c r="N89" s="104"/>
      <c r="O89" s="104"/>
      <c r="P89" s="104"/>
      <c r="Q89" s="104"/>
      <c r="R89" s="104"/>
      <c r="S89" s="147"/>
      <c r="T89" s="146"/>
      <c r="U89" s="542">
        <v>32</v>
      </c>
      <c r="V89" s="1305"/>
      <c r="W89" s="1306"/>
      <c r="X89" s="568"/>
      <c r="Y89" s="104"/>
      <c r="Z89" s="104"/>
      <c r="AA89" s="104"/>
      <c r="AB89" s="104"/>
      <c r="AC89" s="104"/>
      <c r="AD89" s="104"/>
      <c r="AE89" s="104"/>
      <c r="AF89" s="104"/>
      <c r="AG89" s="104"/>
      <c r="AH89" s="104"/>
      <c r="AI89" s="104"/>
      <c r="AJ89" s="104"/>
      <c r="AK89" s="104"/>
      <c r="AL89" s="147"/>
    </row>
    <row r="90" spans="1:38">
      <c r="A90" s="146"/>
      <c r="B90" s="542">
        <v>33</v>
      </c>
      <c r="C90" s="1305"/>
      <c r="D90" s="1306"/>
      <c r="E90" s="568"/>
      <c r="F90" s="104"/>
      <c r="G90" s="104"/>
      <c r="H90" s="104"/>
      <c r="I90" s="104"/>
      <c r="J90" s="104"/>
      <c r="K90" s="104"/>
      <c r="L90" s="104"/>
      <c r="M90" s="104"/>
      <c r="N90" s="104"/>
      <c r="O90" s="104"/>
      <c r="P90" s="104"/>
      <c r="Q90" s="104"/>
      <c r="R90" s="104"/>
      <c r="S90" s="147"/>
      <c r="T90" s="146"/>
      <c r="U90" s="542">
        <v>33</v>
      </c>
      <c r="V90" s="1305"/>
      <c r="W90" s="1306"/>
      <c r="X90" s="568"/>
      <c r="Y90" s="104"/>
      <c r="Z90" s="104"/>
      <c r="AA90" s="104"/>
      <c r="AB90" s="104"/>
      <c r="AC90" s="104"/>
      <c r="AD90" s="104"/>
      <c r="AE90" s="104"/>
      <c r="AF90" s="104"/>
      <c r="AG90" s="104"/>
      <c r="AH90" s="104"/>
      <c r="AI90" s="104"/>
      <c r="AJ90" s="104"/>
      <c r="AK90" s="104"/>
      <c r="AL90" s="147"/>
    </row>
    <row r="91" spans="1:38">
      <c r="A91" s="146"/>
      <c r="B91" s="542">
        <v>34</v>
      </c>
      <c r="C91" s="1305"/>
      <c r="D91" s="1306"/>
      <c r="E91" s="568"/>
      <c r="F91" s="104"/>
      <c r="G91" s="104"/>
      <c r="H91" s="104"/>
      <c r="I91" s="104"/>
      <c r="J91" s="104"/>
      <c r="K91" s="104"/>
      <c r="L91" s="104"/>
      <c r="M91" s="104"/>
      <c r="N91" s="104"/>
      <c r="O91" s="104"/>
      <c r="P91" s="104"/>
      <c r="Q91" s="104"/>
      <c r="R91" s="104"/>
      <c r="S91" s="147"/>
      <c r="T91" s="146"/>
      <c r="U91" s="542">
        <v>34</v>
      </c>
      <c r="V91" s="1305"/>
      <c r="W91" s="1306"/>
      <c r="X91" s="568"/>
      <c r="Y91" s="104"/>
      <c r="Z91" s="104"/>
      <c r="AA91" s="104"/>
      <c r="AB91" s="104"/>
      <c r="AC91" s="104"/>
      <c r="AD91" s="104"/>
      <c r="AE91" s="104"/>
      <c r="AF91" s="104"/>
      <c r="AG91" s="104"/>
      <c r="AH91" s="104"/>
      <c r="AI91" s="104"/>
      <c r="AJ91" s="104"/>
      <c r="AK91" s="104"/>
      <c r="AL91" s="147"/>
    </row>
    <row r="92" spans="1:38">
      <c r="A92" s="146"/>
      <c r="B92" s="542">
        <v>35</v>
      </c>
      <c r="C92" s="1305"/>
      <c r="D92" s="1306"/>
      <c r="E92" s="568"/>
      <c r="F92" s="104"/>
      <c r="G92" s="104"/>
      <c r="H92" s="104"/>
      <c r="I92" s="104"/>
      <c r="J92" s="104"/>
      <c r="K92" s="104"/>
      <c r="L92" s="104"/>
      <c r="M92" s="104"/>
      <c r="N92" s="104"/>
      <c r="O92" s="104"/>
      <c r="P92" s="104"/>
      <c r="Q92" s="104"/>
      <c r="R92" s="104"/>
      <c r="S92" s="147"/>
      <c r="T92" s="146"/>
      <c r="U92" s="542">
        <v>35</v>
      </c>
      <c r="V92" s="1305"/>
      <c r="W92" s="1306"/>
      <c r="X92" s="568"/>
      <c r="Y92" s="104"/>
      <c r="Z92" s="104"/>
      <c r="AA92" s="104"/>
      <c r="AB92" s="104"/>
      <c r="AC92" s="104"/>
      <c r="AD92" s="104"/>
      <c r="AE92" s="104"/>
      <c r="AF92" s="104"/>
      <c r="AG92" s="104"/>
      <c r="AH92" s="104"/>
      <c r="AI92" s="104"/>
      <c r="AJ92" s="104"/>
      <c r="AK92" s="104"/>
      <c r="AL92" s="147"/>
    </row>
    <row r="93" spans="1:38">
      <c r="A93" s="146"/>
      <c r="B93" s="542">
        <v>36</v>
      </c>
      <c r="C93" s="1305"/>
      <c r="D93" s="1306"/>
      <c r="E93" s="568"/>
      <c r="F93" s="104"/>
      <c r="G93" s="104"/>
      <c r="H93" s="104"/>
      <c r="I93" s="104"/>
      <c r="J93" s="104"/>
      <c r="K93" s="104"/>
      <c r="L93" s="104"/>
      <c r="M93" s="104"/>
      <c r="N93" s="104"/>
      <c r="O93" s="104"/>
      <c r="P93" s="104"/>
      <c r="Q93" s="104"/>
      <c r="R93" s="104"/>
      <c r="S93" s="147"/>
      <c r="T93" s="146"/>
      <c r="U93" s="542">
        <v>36</v>
      </c>
      <c r="V93" s="1305"/>
      <c r="W93" s="1306"/>
      <c r="X93" s="568"/>
      <c r="Y93" s="104"/>
      <c r="Z93" s="104"/>
      <c r="AA93" s="104"/>
      <c r="AB93" s="104"/>
      <c r="AC93" s="104"/>
      <c r="AD93" s="104"/>
      <c r="AE93" s="104"/>
      <c r="AF93" s="104"/>
      <c r="AG93" s="104"/>
      <c r="AH93" s="104"/>
      <c r="AI93" s="104"/>
      <c r="AJ93" s="104"/>
      <c r="AK93" s="104"/>
      <c r="AL93" s="147"/>
    </row>
    <row r="94" spans="1:38">
      <c r="A94" s="146"/>
      <c r="B94" s="542">
        <v>37</v>
      </c>
      <c r="C94" s="1305"/>
      <c r="D94" s="1306"/>
      <c r="E94" s="568"/>
      <c r="F94" s="104"/>
      <c r="G94" s="104"/>
      <c r="H94" s="104"/>
      <c r="I94" s="104"/>
      <c r="J94" s="104"/>
      <c r="K94" s="104"/>
      <c r="L94" s="104"/>
      <c r="M94" s="104"/>
      <c r="N94" s="104"/>
      <c r="O94" s="104"/>
      <c r="P94" s="104"/>
      <c r="Q94" s="104"/>
      <c r="R94" s="104"/>
      <c r="S94" s="147"/>
      <c r="T94" s="146"/>
      <c r="U94" s="542">
        <v>37</v>
      </c>
      <c r="V94" s="1305"/>
      <c r="W94" s="1306"/>
      <c r="X94" s="568"/>
      <c r="Y94" s="104"/>
      <c r="Z94" s="104"/>
      <c r="AA94" s="104"/>
      <c r="AB94" s="104"/>
      <c r="AC94" s="104"/>
      <c r="AD94" s="104"/>
      <c r="AE94" s="104"/>
      <c r="AF94" s="104"/>
      <c r="AG94" s="104"/>
      <c r="AH94" s="104"/>
      <c r="AI94" s="104"/>
      <c r="AJ94" s="104"/>
      <c r="AK94" s="104"/>
      <c r="AL94" s="147"/>
    </row>
    <row r="95" spans="1:38">
      <c r="A95" s="146"/>
      <c r="B95" s="542">
        <v>38</v>
      </c>
      <c r="C95" s="1305"/>
      <c r="D95" s="1306"/>
      <c r="E95" s="568"/>
      <c r="F95" s="104"/>
      <c r="G95" s="104"/>
      <c r="H95" s="104"/>
      <c r="I95" s="104"/>
      <c r="J95" s="104"/>
      <c r="K95" s="104"/>
      <c r="L95" s="104"/>
      <c r="M95" s="104"/>
      <c r="N95" s="104"/>
      <c r="O95" s="104"/>
      <c r="P95" s="104"/>
      <c r="Q95" s="104"/>
      <c r="R95" s="104"/>
      <c r="S95" s="147"/>
      <c r="T95" s="146"/>
      <c r="U95" s="542">
        <v>38</v>
      </c>
      <c r="V95" s="1305"/>
      <c r="W95" s="1306"/>
      <c r="X95" s="568"/>
      <c r="Y95" s="104"/>
      <c r="Z95" s="104"/>
      <c r="AA95" s="104"/>
      <c r="AB95" s="104"/>
      <c r="AC95" s="104"/>
      <c r="AD95" s="104"/>
      <c r="AE95" s="104"/>
      <c r="AF95" s="104"/>
      <c r="AG95" s="104"/>
      <c r="AH95" s="104"/>
      <c r="AI95" s="104"/>
      <c r="AJ95" s="104"/>
      <c r="AK95" s="104"/>
      <c r="AL95" s="147"/>
    </row>
    <row r="96" spans="1:38">
      <c r="A96" s="146"/>
      <c r="B96" s="542">
        <v>39</v>
      </c>
      <c r="C96" s="1305"/>
      <c r="D96" s="1306"/>
      <c r="E96" s="568"/>
      <c r="F96" s="104"/>
      <c r="G96" s="104"/>
      <c r="H96" s="104"/>
      <c r="I96" s="104"/>
      <c r="J96" s="104"/>
      <c r="K96" s="104"/>
      <c r="L96" s="104"/>
      <c r="M96" s="104"/>
      <c r="N96" s="104"/>
      <c r="O96" s="104"/>
      <c r="P96" s="104"/>
      <c r="Q96" s="104"/>
      <c r="R96" s="104"/>
      <c r="S96" s="147"/>
      <c r="T96" s="146"/>
      <c r="U96" s="542">
        <v>39</v>
      </c>
      <c r="V96" s="1305"/>
      <c r="W96" s="1306"/>
      <c r="X96" s="568"/>
      <c r="Y96" s="104"/>
      <c r="Z96" s="104"/>
      <c r="AA96" s="104"/>
      <c r="AB96" s="104"/>
      <c r="AC96" s="104"/>
      <c r="AD96" s="104"/>
      <c r="AE96" s="104"/>
      <c r="AF96" s="104"/>
      <c r="AG96" s="104"/>
      <c r="AH96" s="104"/>
      <c r="AI96" s="104"/>
      <c r="AJ96" s="104"/>
      <c r="AK96" s="104"/>
      <c r="AL96" s="147"/>
    </row>
    <row r="97" spans="1:38">
      <c r="A97" s="146"/>
      <c r="B97" s="542">
        <v>40</v>
      </c>
      <c r="C97" s="1305"/>
      <c r="D97" s="1306"/>
      <c r="E97" s="568"/>
      <c r="F97" s="104"/>
      <c r="G97" s="104"/>
      <c r="H97" s="104"/>
      <c r="I97" s="104"/>
      <c r="J97" s="104"/>
      <c r="K97" s="104"/>
      <c r="L97" s="104"/>
      <c r="M97" s="104"/>
      <c r="N97" s="104"/>
      <c r="O97" s="104"/>
      <c r="P97" s="104"/>
      <c r="Q97" s="104"/>
      <c r="R97" s="104"/>
      <c r="S97" s="147"/>
      <c r="T97" s="146"/>
      <c r="U97" s="542">
        <v>40</v>
      </c>
      <c r="V97" s="1305"/>
      <c r="W97" s="1306"/>
      <c r="X97" s="568"/>
      <c r="Y97" s="104"/>
      <c r="Z97" s="104"/>
      <c r="AA97" s="104"/>
      <c r="AB97" s="104"/>
      <c r="AC97" s="104"/>
      <c r="AD97" s="104"/>
      <c r="AE97" s="104"/>
      <c r="AF97" s="104"/>
      <c r="AG97" s="104"/>
      <c r="AH97" s="104"/>
      <c r="AI97" s="104"/>
      <c r="AJ97" s="104"/>
      <c r="AK97" s="104"/>
      <c r="AL97" s="147"/>
    </row>
    <row r="98" spans="1:38">
      <c r="A98" s="146"/>
      <c r="B98" s="542">
        <v>41</v>
      </c>
      <c r="C98" s="1305"/>
      <c r="D98" s="1306"/>
      <c r="E98" s="568"/>
      <c r="F98" s="104"/>
      <c r="G98" s="104"/>
      <c r="H98" s="104"/>
      <c r="I98" s="104"/>
      <c r="J98" s="104"/>
      <c r="K98" s="104"/>
      <c r="L98" s="104"/>
      <c r="M98" s="104"/>
      <c r="N98" s="104"/>
      <c r="O98" s="104"/>
      <c r="P98" s="104"/>
      <c r="Q98" s="104"/>
      <c r="R98" s="104"/>
      <c r="S98" s="147"/>
      <c r="T98" s="146"/>
      <c r="U98" s="542">
        <v>41</v>
      </c>
      <c r="V98" s="1305"/>
      <c r="W98" s="1306"/>
      <c r="X98" s="568"/>
      <c r="Y98" s="104"/>
      <c r="Z98" s="104"/>
      <c r="AA98" s="104"/>
      <c r="AB98" s="104"/>
      <c r="AC98" s="104"/>
      <c r="AD98" s="104"/>
      <c r="AE98" s="104"/>
      <c r="AF98" s="104"/>
      <c r="AG98" s="104"/>
      <c r="AH98" s="104"/>
      <c r="AI98" s="104"/>
      <c r="AJ98" s="104"/>
      <c r="AK98" s="104"/>
      <c r="AL98" s="147"/>
    </row>
    <row r="99" spans="1:38">
      <c r="A99" s="146"/>
      <c r="B99" s="542">
        <v>42</v>
      </c>
      <c r="C99" s="1305"/>
      <c r="D99" s="1306"/>
      <c r="E99" s="568"/>
      <c r="F99" s="104"/>
      <c r="G99" s="104"/>
      <c r="H99" s="104"/>
      <c r="I99" s="104"/>
      <c r="J99" s="104"/>
      <c r="K99" s="104"/>
      <c r="L99" s="104"/>
      <c r="M99" s="104"/>
      <c r="N99" s="104"/>
      <c r="O99" s="104"/>
      <c r="P99" s="104"/>
      <c r="Q99" s="104"/>
      <c r="R99" s="104"/>
      <c r="S99" s="147"/>
      <c r="T99" s="146"/>
      <c r="U99" s="542">
        <v>42</v>
      </c>
      <c r="V99" s="1305"/>
      <c r="W99" s="1306"/>
      <c r="X99" s="568"/>
      <c r="Y99" s="104"/>
      <c r="Z99" s="104"/>
      <c r="AA99" s="104"/>
      <c r="AB99" s="104"/>
      <c r="AC99" s="104"/>
      <c r="AD99" s="104"/>
      <c r="AE99" s="104"/>
      <c r="AF99" s="104"/>
      <c r="AG99" s="104"/>
      <c r="AH99" s="104"/>
      <c r="AI99" s="104"/>
      <c r="AJ99" s="104"/>
      <c r="AK99" s="104"/>
      <c r="AL99" s="147"/>
    </row>
    <row r="100" spans="1:38">
      <c r="A100" s="146"/>
      <c r="B100" s="542">
        <v>43</v>
      </c>
      <c r="C100" s="1305"/>
      <c r="D100" s="1306"/>
      <c r="E100" s="568"/>
      <c r="F100" s="104"/>
      <c r="G100" s="104"/>
      <c r="H100" s="104"/>
      <c r="I100" s="104"/>
      <c r="J100" s="104"/>
      <c r="K100" s="104"/>
      <c r="L100" s="104"/>
      <c r="M100" s="104"/>
      <c r="N100" s="104"/>
      <c r="O100" s="104"/>
      <c r="P100" s="104"/>
      <c r="Q100" s="104"/>
      <c r="R100" s="104"/>
      <c r="S100" s="147"/>
      <c r="T100" s="146"/>
      <c r="U100" s="542">
        <v>43</v>
      </c>
      <c r="V100" s="1305"/>
      <c r="W100" s="1306"/>
      <c r="X100" s="568"/>
      <c r="Y100" s="104"/>
      <c r="Z100" s="104"/>
      <c r="AA100" s="104"/>
      <c r="AB100" s="104"/>
      <c r="AC100" s="104"/>
      <c r="AD100" s="104"/>
      <c r="AE100" s="104"/>
      <c r="AF100" s="104"/>
      <c r="AG100" s="104"/>
      <c r="AH100" s="104"/>
      <c r="AI100" s="104"/>
      <c r="AJ100" s="104"/>
      <c r="AK100" s="104"/>
      <c r="AL100" s="147"/>
    </row>
    <row r="101" spans="1:38">
      <c r="A101" s="146"/>
      <c r="B101" s="542">
        <v>44</v>
      </c>
      <c r="C101" s="1305"/>
      <c r="D101" s="1306"/>
      <c r="E101" s="568"/>
      <c r="F101" s="104"/>
      <c r="G101" s="104"/>
      <c r="H101" s="104"/>
      <c r="I101" s="104"/>
      <c r="J101" s="104"/>
      <c r="K101" s="104"/>
      <c r="L101" s="104"/>
      <c r="M101" s="104"/>
      <c r="N101" s="104"/>
      <c r="O101" s="104"/>
      <c r="P101" s="104"/>
      <c r="Q101" s="104"/>
      <c r="R101" s="104"/>
      <c r="S101" s="147"/>
      <c r="T101" s="146"/>
      <c r="U101" s="542">
        <v>44</v>
      </c>
      <c r="V101" s="1305"/>
      <c r="W101" s="1306"/>
      <c r="X101" s="568"/>
      <c r="Y101" s="104"/>
      <c r="Z101" s="104"/>
      <c r="AA101" s="104"/>
      <c r="AB101" s="104"/>
      <c r="AC101" s="104"/>
      <c r="AD101" s="104"/>
      <c r="AE101" s="104"/>
      <c r="AF101" s="104"/>
      <c r="AG101" s="104"/>
      <c r="AH101" s="104"/>
      <c r="AI101" s="104"/>
      <c r="AJ101" s="104"/>
      <c r="AK101" s="104"/>
      <c r="AL101" s="147"/>
    </row>
    <row r="102" spans="1:38">
      <c r="A102" s="146"/>
      <c r="B102" s="542">
        <v>45</v>
      </c>
      <c r="C102" s="1305"/>
      <c r="D102" s="1306"/>
      <c r="E102" s="568"/>
      <c r="F102" s="104"/>
      <c r="G102" s="104"/>
      <c r="H102" s="104"/>
      <c r="I102" s="104"/>
      <c r="J102" s="104"/>
      <c r="K102" s="104"/>
      <c r="L102" s="104"/>
      <c r="M102" s="104"/>
      <c r="N102" s="104"/>
      <c r="O102" s="104"/>
      <c r="P102" s="104"/>
      <c r="Q102" s="104"/>
      <c r="R102" s="104"/>
      <c r="S102" s="147"/>
      <c r="T102" s="146"/>
      <c r="U102" s="542">
        <v>45</v>
      </c>
      <c r="V102" s="1305"/>
      <c r="W102" s="1306"/>
      <c r="X102" s="568"/>
      <c r="Y102" s="104"/>
      <c r="Z102" s="104"/>
      <c r="AA102" s="104"/>
      <c r="AB102" s="104"/>
      <c r="AC102" s="104"/>
      <c r="AD102" s="104"/>
      <c r="AE102" s="104"/>
      <c r="AF102" s="104"/>
      <c r="AG102" s="104"/>
      <c r="AH102" s="104"/>
      <c r="AI102" s="104"/>
      <c r="AJ102" s="104"/>
      <c r="AK102" s="104"/>
      <c r="AL102" s="147"/>
    </row>
    <row r="103" spans="1:38">
      <c r="A103" s="146"/>
      <c r="B103" s="542">
        <v>46</v>
      </c>
      <c r="C103" s="1305"/>
      <c r="D103" s="1306"/>
      <c r="E103" s="568"/>
      <c r="F103" s="104"/>
      <c r="G103" s="104"/>
      <c r="H103" s="104"/>
      <c r="I103" s="104"/>
      <c r="J103" s="104"/>
      <c r="K103" s="104"/>
      <c r="L103" s="104"/>
      <c r="M103" s="104"/>
      <c r="N103" s="104"/>
      <c r="O103" s="104"/>
      <c r="P103" s="104"/>
      <c r="Q103" s="104"/>
      <c r="R103" s="104"/>
      <c r="S103" s="147"/>
      <c r="T103" s="146"/>
      <c r="U103" s="542">
        <v>46</v>
      </c>
      <c r="V103" s="1305"/>
      <c r="W103" s="1306"/>
      <c r="X103" s="568"/>
      <c r="Y103" s="104"/>
      <c r="Z103" s="104"/>
      <c r="AA103" s="104"/>
      <c r="AB103" s="104"/>
      <c r="AC103" s="104"/>
      <c r="AD103" s="104"/>
      <c r="AE103" s="104"/>
      <c r="AF103" s="104"/>
      <c r="AG103" s="104"/>
      <c r="AH103" s="104"/>
      <c r="AI103" s="104"/>
      <c r="AJ103" s="104"/>
      <c r="AK103" s="104"/>
      <c r="AL103" s="147"/>
    </row>
    <row r="104" spans="1:38">
      <c r="A104" s="146"/>
      <c r="B104" s="542">
        <v>47</v>
      </c>
      <c r="C104" s="1305"/>
      <c r="D104" s="1306"/>
      <c r="E104" s="568"/>
      <c r="F104" s="104"/>
      <c r="G104" s="104"/>
      <c r="H104" s="104"/>
      <c r="I104" s="104"/>
      <c r="J104" s="104"/>
      <c r="K104" s="104"/>
      <c r="L104" s="104"/>
      <c r="M104" s="104"/>
      <c r="N104" s="104"/>
      <c r="O104" s="104"/>
      <c r="P104" s="104"/>
      <c r="Q104" s="104"/>
      <c r="R104" s="104"/>
      <c r="S104" s="147"/>
      <c r="T104" s="146"/>
      <c r="U104" s="542">
        <v>47</v>
      </c>
      <c r="V104" s="1305"/>
      <c r="W104" s="1306"/>
      <c r="X104" s="568"/>
      <c r="Y104" s="104"/>
      <c r="Z104" s="104"/>
      <c r="AA104" s="104"/>
      <c r="AB104" s="104"/>
      <c r="AC104" s="104"/>
      <c r="AD104" s="104"/>
      <c r="AE104" s="104"/>
      <c r="AF104" s="104"/>
      <c r="AG104" s="104"/>
      <c r="AH104" s="104"/>
      <c r="AI104" s="104"/>
      <c r="AJ104" s="104"/>
      <c r="AK104" s="104"/>
      <c r="AL104" s="147"/>
    </row>
    <row r="105" spans="1:38">
      <c r="A105" s="146"/>
      <c r="B105" s="542">
        <v>48</v>
      </c>
      <c r="C105" s="1305"/>
      <c r="D105" s="1306"/>
      <c r="E105" s="568"/>
      <c r="F105" s="104"/>
      <c r="G105" s="104"/>
      <c r="H105" s="104"/>
      <c r="I105" s="104"/>
      <c r="J105" s="104"/>
      <c r="K105" s="104"/>
      <c r="L105" s="104"/>
      <c r="M105" s="104"/>
      <c r="N105" s="104"/>
      <c r="O105" s="104"/>
      <c r="P105" s="104"/>
      <c r="Q105" s="104"/>
      <c r="R105" s="104"/>
      <c r="S105" s="147"/>
      <c r="T105" s="146"/>
      <c r="U105" s="542">
        <v>48</v>
      </c>
      <c r="V105" s="1305"/>
      <c r="W105" s="1306"/>
      <c r="X105" s="568"/>
      <c r="Y105" s="104"/>
      <c r="Z105" s="104"/>
      <c r="AA105" s="104"/>
      <c r="AB105" s="104"/>
      <c r="AC105" s="104"/>
      <c r="AD105" s="104"/>
      <c r="AE105" s="104"/>
      <c r="AF105" s="104"/>
      <c r="AG105" s="104"/>
      <c r="AH105" s="104"/>
      <c r="AI105" s="104"/>
      <c r="AJ105" s="104"/>
      <c r="AK105" s="104"/>
      <c r="AL105" s="147"/>
    </row>
    <row r="106" spans="1:38">
      <c r="A106" s="146"/>
      <c r="B106" s="542">
        <v>49</v>
      </c>
      <c r="C106" s="1305"/>
      <c r="D106" s="1306"/>
      <c r="E106" s="568"/>
      <c r="F106" s="104"/>
      <c r="G106" s="104"/>
      <c r="H106" s="104"/>
      <c r="I106" s="104"/>
      <c r="J106" s="104"/>
      <c r="K106" s="104"/>
      <c r="L106" s="104"/>
      <c r="M106" s="104"/>
      <c r="N106" s="104"/>
      <c r="O106" s="104"/>
      <c r="P106" s="104"/>
      <c r="Q106" s="104"/>
      <c r="R106" s="104"/>
      <c r="S106" s="147"/>
      <c r="T106" s="146"/>
      <c r="U106" s="542">
        <v>49</v>
      </c>
      <c r="V106" s="1305"/>
      <c r="W106" s="1306"/>
      <c r="X106" s="568"/>
      <c r="Y106" s="104"/>
      <c r="Z106" s="104"/>
      <c r="AA106" s="104"/>
      <c r="AB106" s="104"/>
      <c r="AC106" s="104"/>
      <c r="AD106" s="104"/>
      <c r="AE106" s="104"/>
      <c r="AF106" s="104"/>
      <c r="AG106" s="104"/>
      <c r="AH106" s="104"/>
      <c r="AI106" s="104"/>
      <c r="AJ106" s="104"/>
      <c r="AK106" s="104"/>
      <c r="AL106" s="147"/>
    </row>
    <row r="107" spans="1:38">
      <c r="A107" s="146"/>
      <c r="B107" s="542">
        <v>50</v>
      </c>
      <c r="C107" s="1305"/>
      <c r="D107" s="1306"/>
      <c r="E107" s="568"/>
      <c r="F107" s="104"/>
      <c r="G107" s="104"/>
      <c r="H107" s="104"/>
      <c r="I107" s="104"/>
      <c r="J107" s="104"/>
      <c r="K107" s="104"/>
      <c r="L107" s="104"/>
      <c r="M107" s="104"/>
      <c r="N107" s="104"/>
      <c r="O107" s="104"/>
      <c r="P107" s="104"/>
      <c r="Q107" s="104"/>
      <c r="R107" s="104"/>
      <c r="S107" s="147"/>
      <c r="T107" s="146"/>
      <c r="U107" s="542">
        <v>50</v>
      </c>
      <c r="V107" s="1305"/>
      <c r="W107" s="1306"/>
      <c r="X107" s="568"/>
      <c r="Y107" s="104"/>
      <c r="Z107" s="104"/>
      <c r="AA107" s="104"/>
      <c r="AB107" s="104"/>
      <c r="AC107" s="104"/>
      <c r="AD107" s="104"/>
      <c r="AE107" s="104"/>
      <c r="AF107" s="104"/>
      <c r="AG107" s="104"/>
      <c r="AH107" s="104"/>
      <c r="AI107" s="104"/>
      <c r="AJ107" s="104"/>
      <c r="AK107" s="104"/>
      <c r="AL107" s="147"/>
    </row>
    <row r="108" spans="1:38">
      <c r="A108" s="146"/>
      <c r="B108" s="542">
        <v>51</v>
      </c>
      <c r="C108" s="1305"/>
      <c r="D108" s="1306"/>
      <c r="E108" s="568"/>
      <c r="F108" s="104"/>
      <c r="G108" s="104"/>
      <c r="H108" s="104"/>
      <c r="I108" s="104"/>
      <c r="J108" s="104"/>
      <c r="K108" s="104"/>
      <c r="L108" s="104"/>
      <c r="M108" s="104"/>
      <c r="N108" s="104"/>
      <c r="O108" s="104"/>
      <c r="P108" s="104"/>
      <c r="Q108" s="104"/>
      <c r="R108" s="104"/>
      <c r="S108" s="147"/>
      <c r="T108" s="146"/>
      <c r="U108" s="542">
        <v>51</v>
      </c>
      <c r="V108" s="1305"/>
      <c r="W108" s="1306"/>
      <c r="X108" s="568"/>
      <c r="Y108" s="104"/>
      <c r="Z108" s="104"/>
      <c r="AA108" s="104"/>
      <c r="AB108" s="104"/>
      <c r="AC108" s="104"/>
      <c r="AD108" s="104"/>
      <c r="AE108" s="104"/>
      <c r="AF108" s="104"/>
      <c r="AG108" s="104"/>
      <c r="AH108" s="104"/>
      <c r="AI108" s="104"/>
      <c r="AJ108" s="104"/>
      <c r="AK108" s="104"/>
      <c r="AL108" s="147"/>
    </row>
    <row r="109" spans="1:38">
      <c r="A109" s="146"/>
      <c r="B109" s="542">
        <v>52</v>
      </c>
      <c r="C109" s="1305"/>
      <c r="D109" s="1306"/>
      <c r="E109" s="568"/>
      <c r="F109" s="104"/>
      <c r="G109" s="104"/>
      <c r="H109" s="104"/>
      <c r="I109" s="104"/>
      <c r="J109" s="104"/>
      <c r="K109" s="104"/>
      <c r="L109" s="104"/>
      <c r="M109" s="104"/>
      <c r="N109" s="104"/>
      <c r="O109" s="104"/>
      <c r="P109" s="104"/>
      <c r="Q109" s="104"/>
      <c r="R109" s="104"/>
      <c r="S109" s="147"/>
      <c r="T109" s="146"/>
      <c r="U109" s="542">
        <v>52</v>
      </c>
      <c r="V109" s="1305"/>
      <c r="W109" s="1306"/>
      <c r="X109" s="568"/>
      <c r="Y109" s="104"/>
      <c r="Z109" s="104"/>
      <c r="AA109" s="104"/>
      <c r="AB109" s="104"/>
      <c r="AC109" s="104"/>
      <c r="AD109" s="104"/>
      <c r="AE109" s="104"/>
      <c r="AF109" s="104"/>
      <c r="AG109" s="104"/>
      <c r="AH109" s="104"/>
      <c r="AI109" s="104"/>
      <c r="AJ109" s="104"/>
      <c r="AK109" s="104"/>
      <c r="AL109" s="147"/>
    </row>
    <row r="110" spans="1:38">
      <c r="A110" s="146"/>
      <c r="B110" s="542">
        <v>53</v>
      </c>
      <c r="C110" s="1305"/>
      <c r="D110" s="1306"/>
      <c r="E110" s="568"/>
      <c r="F110" s="104"/>
      <c r="G110" s="104"/>
      <c r="H110" s="104"/>
      <c r="I110" s="104"/>
      <c r="J110" s="104"/>
      <c r="K110" s="104"/>
      <c r="L110" s="104"/>
      <c r="M110" s="104"/>
      <c r="N110" s="104"/>
      <c r="O110" s="104"/>
      <c r="P110" s="104"/>
      <c r="Q110" s="104"/>
      <c r="R110" s="104"/>
      <c r="S110" s="147"/>
      <c r="T110" s="146"/>
      <c r="U110" s="542">
        <v>53</v>
      </c>
      <c r="V110" s="1305"/>
      <c r="W110" s="1306"/>
      <c r="X110" s="568"/>
      <c r="Y110" s="104"/>
      <c r="Z110" s="104"/>
      <c r="AA110" s="104"/>
      <c r="AB110" s="104"/>
      <c r="AC110" s="104"/>
      <c r="AD110" s="104"/>
      <c r="AE110" s="104"/>
      <c r="AF110" s="104"/>
      <c r="AG110" s="104"/>
      <c r="AH110" s="104"/>
      <c r="AI110" s="104"/>
      <c r="AJ110" s="104"/>
      <c r="AK110" s="104"/>
      <c r="AL110" s="147"/>
    </row>
    <row r="111" spans="1:38">
      <c r="A111" s="146"/>
      <c r="B111" s="542">
        <v>54</v>
      </c>
      <c r="C111" s="1305"/>
      <c r="D111" s="1306"/>
      <c r="E111" s="568"/>
      <c r="F111" s="104"/>
      <c r="G111" s="104"/>
      <c r="H111" s="104"/>
      <c r="I111" s="104"/>
      <c r="J111" s="104"/>
      <c r="K111" s="104"/>
      <c r="L111" s="104"/>
      <c r="M111" s="104"/>
      <c r="N111" s="104"/>
      <c r="O111" s="104"/>
      <c r="P111" s="104"/>
      <c r="Q111" s="104"/>
      <c r="R111" s="104"/>
      <c r="S111" s="147"/>
      <c r="T111" s="146"/>
      <c r="U111" s="542">
        <v>54</v>
      </c>
      <c r="V111" s="1305"/>
      <c r="W111" s="1306"/>
      <c r="X111" s="568"/>
      <c r="Y111" s="104"/>
      <c r="Z111" s="104"/>
      <c r="AA111" s="104"/>
      <c r="AB111" s="104"/>
      <c r="AC111" s="104"/>
      <c r="AD111" s="104"/>
      <c r="AE111" s="104"/>
      <c r="AF111" s="104"/>
      <c r="AG111" s="104"/>
      <c r="AH111" s="104"/>
      <c r="AI111" s="104"/>
      <c r="AJ111" s="104"/>
      <c r="AK111" s="104"/>
      <c r="AL111" s="147"/>
    </row>
    <row r="112" spans="1:38">
      <c r="A112" s="146"/>
      <c r="B112" s="542">
        <v>55</v>
      </c>
      <c r="C112" s="1305"/>
      <c r="D112" s="1306"/>
      <c r="E112" s="568"/>
      <c r="F112" s="104"/>
      <c r="G112" s="104"/>
      <c r="H112" s="104"/>
      <c r="I112" s="104"/>
      <c r="J112" s="104"/>
      <c r="K112" s="104"/>
      <c r="L112" s="104"/>
      <c r="M112" s="104"/>
      <c r="N112" s="104"/>
      <c r="O112" s="104"/>
      <c r="P112" s="104"/>
      <c r="Q112" s="104"/>
      <c r="R112" s="104"/>
      <c r="S112" s="147"/>
      <c r="T112" s="146"/>
      <c r="U112" s="542">
        <v>55</v>
      </c>
      <c r="V112" s="1305"/>
      <c r="W112" s="1306"/>
      <c r="X112" s="568"/>
      <c r="Y112" s="104"/>
      <c r="Z112" s="104"/>
      <c r="AA112" s="104"/>
      <c r="AB112" s="104"/>
      <c r="AC112" s="104"/>
      <c r="AD112" s="104"/>
      <c r="AE112" s="104"/>
      <c r="AF112" s="104"/>
      <c r="AG112" s="104"/>
      <c r="AH112" s="104"/>
      <c r="AI112" s="104"/>
      <c r="AJ112" s="104"/>
      <c r="AK112" s="104"/>
      <c r="AL112" s="147"/>
    </row>
    <row r="113" spans="1:38">
      <c r="A113" s="146"/>
      <c r="B113" s="542">
        <v>56</v>
      </c>
      <c r="C113" s="1305"/>
      <c r="D113" s="1306"/>
      <c r="E113" s="568"/>
      <c r="F113" s="104"/>
      <c r="G113" s="104"/>
      <c r="H113" s="104"/>
      <c r="I113" s="104"/>
      <c r="J113" s="104"/>
      <c r="K113" s="104"/>
      <c r="L113" s="104"/>
      <c r="M113" s="104"/>
      <c r="N113" s="104"/>
      <c r="O113" s="104"/>
      <c r="P113" s="104"/>
      <c r="Q113" s="104"/>
      <c r="R113" s="104"/>
      <c r="S113" s="147"/>
      <c r="T113" s="146"/>
      <c r="U113" s="542">
        <v>56</v>
      </c>
      <c r="V113" s="1305"/>
      <c r="W113" s="1306"/>
      <c r="X113" s="568"/>
      <c r="Y113" s="104"/>
      <c r="Z113" s="104"/>
      <c r="AA113" s="104"/>
      <c r="AB113" s="104"/>
      <c r="AC113" s="104"/>
      <c r="AD113" s="104"/>
      <c r="AE113" s="104"/>
      <c r="AF113" s="104"/>
      <c r="AG113" s="104"/>
      <c r="AH113" s="104"/>
      <c r="AI113" s="104"/>
      <c r="AJ113" s="104"/>
      <c r="AK113" s="104"/>
      <c r="AL113" s="147"/>
    </row>
    <row r="114" spans="1:38">
      <c r="A114" s="146"/>
      <c r="B114" s="542">
        <v>57</v>
      </c>
      <c r="C114" s="1305"/>
      <c r="D114" s="1306"/>
      <c r="E114" s="568"/>
      <c r="F114" s="104"/>
      <c r="G114" s="104"/>
      <c r="H114" s="104"/>
      <c r="I114" s="104"/>
      <c r="J114" s="104"/>
      <c r="K114" s="104"/>
      <c r="L114" s="104"/>
      <c r="M114" s="104"/>
      <c r="N114" s="104"/>
      <c r="O114" s="104"/>
      <c r="P114" s="104"/>
      <c r="Q114" s="104"/>
      <c r="R114" s="104"/>
      <c r="S114" s="147"/>
      <c r="T114" s="146"/>
      <c r="U114" s="542">
        <v>57</v>
      </c>
      <c r="V114" s="1305"/>
      <c r="W114" s="1306"/>
      <c r="X114" s="568"/>
      <c r="Y114" s="104"/>
      <c r="Z114" s="104"/>
      <c r="AA114" s="104"/>
      <c r="AB114" s="104"/>
      <c r="AC114" s="104"/>
      <c r="AD114" s="104"/>
      <c r="AE114" s="104"/>
      <c r="AF114" s="104"/>
      <c r="AG114" s="104"/>
      <c r="AH114" s="104"/>
      <c r="AI114" s="104"/>
      <c r="AJ114" s="104"/>
      <c r="AK114" s="104"/>
      <c r="AL114" s="147"/>
    </row>
    <row r="115" spans="1:38">
      <c r="A115" s="146"/>
      <c r="B115" s="542">
        <v>58</v>
      </c>
      <c r="C115" s="1305"/>
      <c r="D115" s="1306"/>
      <c r="E115" s="568"/>
      <c r="F115" s="104"/>
      <c r="G115" s="104"/>
      <c r="H115" s="104"/>
      <c r="I115" s="104"/>
      <c r="J115" s="104"/>
      <c r="K115" s="104"/>
      <c r="L115" s="104"/>
      <c r="M115" s="104"/>
      <c r="N115" s="104"/>
      <c r="O115" s="104"/>
      <c r="P115" s="104"/>
      <c r="Q115" s="104"/>
      <c r="R115" s="104"/>
      <c r="S115" s="147"/>
      <c r="T115" s="146"/>
      <c r="U115" s="542">
        <v>58</v>
      </c>
      <c r="V115" s="1305"/>
      <c r="W115" s="1306"/>
      <c r="X115" s="568"/>
      <c r="Y115" s="104"/>
      <c r="Z115" s="104"/>
      <c r="AA115" s="104"/>
      <c r="AB115" s="104"/>
      <c r="AC115" s="104"/>
      <c r="AD115" s="104"/>
      <c r="AE115" s="104"/>
      <c r="AF115" s="104"/>
      <c r="AG115" s="104"/>
      <c r="AH115" s="104"/>
      <c r="AI115" s="104"/>
      <c r="AJ115" s="104"/>
      <c r="AK115" s="104"/>
      <c r="AL115" s="147"/>
    </row>
    <row r="116" spans="1:38">
      <c r="A116" s="146"/>
      <c r="B116" s="542">
        <v>59</v>
      </c>
      <c r="C116" s="1305"/>
      <c r="D116" s="1306"/>
      <c r="E116" s="568"/>
      <c r="F116" s="104"/>
      <c r="G116" s="104"/>
      <c r="H116" s="104"/>
      <c r="I116" s="104"/>
      <c r="J116" s="104"/>
      <c r="K116" s="104"/>
      <c r="L116" s="104"/>
      <c r="M116" s="104"/>
      <c r="N116" s="104"/>
      <c r="O116" s="104"/>
      <c r="P116" s="104"/>
      <c r="Q116" s="104"/>
      <c r="R116" s="104"/>
      <c r="S116" s="147"/>
      <c r="T116" s="146"/>
      <c r="U116" s="542">
        <v>59</v>
      </c>
      <c r="V116" s="1305"/>
      <c r="W116" s="1306"/>
      <c r="X116" s="568"/>
      <c r="Y116" s="104"/>
      <c r="Z116" s="104"/>
      <c r="AA116" s="104"/>
      <c r="AB116" s="104"/>
      <c r="AC116" s="104"/>
      <c r="AD116" s="104"/>
      <c r="AE116" s="104"/>
      <c r="AF116" s="104"/>
      <c r="AG116" s="104"/>
      <c r="AH116" s="104"/>
      <c r="AI116" s="104"/>
      <c r="AJ116" s="104"/>
      <c r="AK116" s="104"/>
      <c r="AL116" s="147"/>
    </row>
    <row r="117" spans="1:38">
      <c r="A117" s="146"/>
      <c r="B117" s="542">
        <v>60</v>
      </c>
      <c r="C117" s="1305"/>
      <c r="D117" s="1306"/>
      <c r="E117" s="568"/>
      <c r="F117" s="104"/>
      <c r="G117" s="104"/>
      <c r="H117" s="104"/>
      <c r="I117" s="104"/>
      <c r="J117" s="104"/>
      <c r="K117" s="104"/>
      <c r="L117" s="104"/>
      <c r="M117" s="104"/>
      <c r="N117" s="104"/>
      <c r="O117" s="104"/>
      <c r="P117" s="104"/>
      <c r="Q117" s="104"/>
      <c r="R117" s="104"/>
      <c r="S117" s="147"/>
      <c r="T117" s="146"/>
      <c r="U117" s="542">
        <v>60</v>
      </c>
      <c r="V117" s="1305"/>
      <c r="W117" s="1306"/>
      <c r="X117" s="568"/>
      <c r="Y117" s="104"/>
      <c r="Z117" s="104"/>
      <c r="AA117" s="104"/>
      <c r="AB117" s="104"/>
      <c r="AC117" s="104"/>
      <c r="AD117" s="104"/>
      <c r="AE117" s="104"/>
      <c r="AF117" s="104"/>
      <c r="AG117" s="104"/>
      <c r="AH117" s="104"/>
      <c r="AI117" s="104"/>
      <c r="AJ117" s="104"/>
      <c r="AK117" s="104"/>
      <c r="AL117" s="147"/>
    </row>
    <row r="118" spans="1:38">
      <c r="A118" s="146"/>
      <c r="B118" s="542">
        <v>61</v>
      </c>
      <c r="C118" s="1305"/>
      <c r="D118" s="1306"/>
      <c r="E118" s="568"/>
      <c r="F118" s="104"/>
      <c r="G118" s="104"/>
      <c r="H118" s="104"/>
      <c r="I118" s="104"/>
      <c r="J118" s="104"/>
      <c r="K118" s="104"/>
      <c r="L118" s="104"/>
      <c r="M118" s="104"/>
      <c r="N118" s="104"/>
      <c r="O118" s="104"/>
      <c r="P118" s="104"/>
      <c r="Q118" s="104"/>
      <c r="R118" s="104"/>
      <c r="S118" s="147"/>
      <c r="T118" s="146"/>
      <c r="U118" s="542">
        <v>61</v>
      </c>
      <c r="V118" s="1305"/>
      <c r="W118" s="1306"/>
      <c r="X118" s="568"/>
      <c r="Y118" s="104"/>
      <c r="Z118" s="104"/>
      <c r="AA118" s="104"/>
      <c r="AB118" s="104"/>
      <c r="AC118" s="104"/>
      <c r="AD118" s="104"/>
      <c r="AE118" s="104"/>
      <c r="AF118" s="104"/>
      <c r="AG118" s="104"/>
      <c r="AH118" s="104"/>
      <c r="AI118" s="104"/>
      <c r="AJ118" s="104"/>
      <c r="AK118" s="104"/>
      <c r="AL118" s="147"/>
    </row>
    <row r="119" spans="1:38">
      <c r="A119" s="146"/>
      <c r="B119" s="542">
        <v>62</v>
      </c>
      <c r="C119" s="1305"/>
      <c r="D119" s="1306"/>
      <c r="E119" s="568"/>
      <c r="F119" s="104"/>
      <c r="G119" s="104"/>
      <c r="H119" s="104"/>
      <c r="I119" s="104"/>
      <c r="J119" s="104"/>
      <c r="K119" s="104"/>
      <c r="L119" s="104"/>
      <c r="M119" s="104"/>
      <c r="N119" s="104"/>
      <c r="O119" s="104"/>
      <c r="P119" s="104"/>
      <c r="Q119" s="104"/>
      <c r="R119" s="104"/>
      <c r="S119" s="147"/>
      <c r="T119" s="146"/>
      <c r="U119" s="542">
        <v>62</v>
      </c>
      <c r="V119" s="1305"/>
      <c r="W119" s="1306"/>
      <c r="X119" s="568"/>
      <c r="Y119" s="104"/>
      <c r="Z119" s="104"/>
      <c r="AA119" s="104"/>
      <c r="AB119" s="104"/>
      <c r="AC119" s="104"/>
      <c r="AD119" s="104"/>
      <c r="AE119" s="104"/>
      <c r="AF119" s="104"/>
      <c r="AG119" s="104"/>
      <c r="AH119" s="104"/>
      <c r="AI119" s="104"/>
      <c r="AJ119" s="104"/>
      <c r="AK119" s="104"/>
      <c r="AL119" s="147"/>
    </row>
    <row r="120" spans="1:38">
      <c r="A120" s="146"/>
      <c r="B120" s="542">
        <v>63</v>
      </c>
      <c r="C120" s="1305"/>
      <c r="D120" s="1306"/>
      <c r="E120" s="568"/>
      <c r="F120" s="104"/>
      <c r="G120" s="104"/>
      <c r="H120" s="104"/>
      <c r="I120" s="104"/>
      <c r="J120" s="104"/>
      <c r="K120" s="104"/>
      <c r="L120" s="104"/>
      <c r="M120" s="104"/>
      <c r="N120" s="104"/>
      <c r="O120" s="104"/>
      <c r="P120" s="104"/>
      <c r="Q120" s="104"/>
      <c r="R120" s="104"/>
      <c r="S120" s="147"/>
      <c r="T120" s="146"/>
      <c r="U120" s="542">
        <v>63</v>
      </c>
      <c r="V120" s="1305"/>
      <c r="W120" s="1306"/>
      <c r="X120" s="568"/>
      <c r="Y120" s="104"/>
      <c r="Z120" s="104"/>
      <c r="AA120" s="104"/>
      <c r="AB120" s="104"/>
      <c r="AC120" s="104"/>
      <c r="AD120" s="104"/>
      <c r="AE120" s="104"/>
      <c r="AF120" s="104"/>
      <c r="AG120" s="104"/>
      <c r="AH120" s="104"/>
      <c r="AI120" s="104"/>
      <c r="AJ120" s="104"/>
      <c r="AK120" s="104"/>
      <c r="AL120" s="147"/>
    </row>
    <row r="121" spans="1:38">
      <c r="A121" s="146"/>
      <c r="B121" s="542">
        <v>64</v>
      </c>
      <c r="C121" s="1305"/>
      <c r="D121" s="1306"/>
      <c r="E121" s="568"/>
      <c r="F121" s="104"/>
      <c r="G121" s="104"/>
      <c r="H121" s="104"/>
      <c r="I121" s="104"/>
      <c r="J121" s="104"/>
      <c r="K121" s="104"/>
      <c r="L121" s="104"/>
      <c r="M121" s="104"/>
      <c r="N121" s="104"/>
      <c r="O121" s="104"/>
      <c r="P121" s="104"/>
      <c r="Q121" s="104"/>
      <c r="R121" s="104"/>
      <c r="S121" s="147"/>
      <c r="T121" s="146"/>
      <c r="U121" s="542">
        <v>64</v>
      </c>
      <c r="V121" s="1305"/>
      <c r="W121" s="1306"/>
      <c r="X121" s="568"/>
      <c r="Y121" s="104"/>
      <c r="Z121" s="104"/>
      <c r="AA121" s="104"/>
      <c r="AB121" s="104"/>
      <c r="AC121" s="104"/>
      <c r="AD121" s="104"/>
      <c r="AE121" s="104"/>
      <c r="AF121" s="104"/>
      <c r="AG121" s="104"/>
      <c r="AH121" s="104"/>
      <c r="AI121" s="104"/>
      <c r="AJ121" s="104"/>
      <c r="AK121" s="104"/>
      <c r="AL121" s="147"/>
    </row>
    <row r="122" spans="1:38">
      <c r="A122" s="146"/>
      <c r="B122" s="542">
        <v>65</v>
      </c>
      <c r="C122" s="1305"/>
      <c r="D122" s="1306"/>
      <c r="E122" s="568"/>
      <c r="F122" s="104"/>
      <c r="G122" s="104"/>
      <c r="H122" s="104"/>
      <c r="I122" s="104"/>
      <c r="J122" s="104"/>
      <c r="K122" s="104"/>
      <c r="L122" s="104"/>
      <c r="M122" s="104"/>
      <c r="N122" s="104"/>
      <c r="O122" s="104"/>
      <c r="P122" s="104"/>
      <c r="Q122" s="104"/>
      <c r="R122" s="104"/>
      <c r="S122" s="147"/>
      <c r="T122" s="146"/>
      <c r="U122" s="542">
        <v>65</v>
      </c>
      <c r="V122" s="1305"/>
      <c r="W122" s="1306"/>
      <c r="X122" s="568"/>
      <c r="Y122" s="104"/>
      <c r="Z122" s="104"/>
      <c r="AA122" s="104"/>
      <c r="AB122" s="104"/>
      <c r="AC122" s="104"/>
      <c r="AD122" s="104"/>
      <c r="AE122" s="104"/>
      <c r="AF122" s="104"/>
      <c r="AG122" s="104"/>
      <c r="AH122" s="104"/>
      <c r="AI122" s="104"/>
      <c r="AJ122" s="104"/>
      <c r="AK122" s="104"/>
      <c r="AL122" s="147"/>
    </row>
    <row r="123" spans="1:38">
      <c r="A123" s="146"/>
      <c r="B123" s="542">
        <v>66</v>
      </c>
      <c r="C123" s="1305"/>
      <c r="D123" s="1306"/>
      <c r="E123" s="568"/>
      <c r="F123" s="104"/>
      <c r="G123" s="104"/>
      <c r="H123" s="104"/>
      <c r="I123" s="104"/>
      <c r="J123" s="104"/>
      <c r="K123" s="104"/>
      <c r="L123" s="104"/>
      <c r="M123" s="104"/>
      <c r="N123" s="104"/>
      <c r="O123" s="104"/>
      <c r="P123" s="104"/>
      <c r="Q123" s="104"/>
      <c r="R123" s="104"/>
      <c r="S123" s="147"/>
      <c r="T123" s="146"/>
      <c r="U123" s="542">
        <v>66</v>
      </c>
      <c r="V123" s="1305"/>
      <c r="W123" s="1306"/>
      <c r="X123" s="568"/>
      <c r="Y123" s="104"/>
      <c r="Z123" s="104"/>
      <c r="AA123" s="104"/>
      <c r="AB123" s="104"/>
      <c r="AC123" s="104"/>
      <c r="AD123" s="104"/>
      <c r="AE123" s="104"/>
      <c r="AF123" s="104"/>
      <c r="AG123" s="104"/>
      <c r="AH123" s="104"/>
      <c r="AI123" s="104"/>
      <c r="AJ123" s="104"/>
      <c r="AK123" s="104"/>
      <c r="AL123" s="147"/>
    </row>
    <row r="124" spans="1:38">
      <c r="A124" s="146"/>
      <c r="B124" s="542">
        <v>67</v>
      </c>
      <c r="C124" s="1305"/>
      <c r="D124" s="1306"/>
      <c r="E124" s="568"/>
      <c r="F124" s="104"/>
      <c r="G124" s="104"/>
      <c r="H124" s="104"/>
      <c r="I124" s="104"/>
      <c r="J124" s="104"/>
      <c r="K124" s="104"/>
      <c r="L124" s="104"/>
      <c r="M124" s="104"/>
      <c r="N124" s="104"/>
      <c r="O124" s="104"/>
      <c r="P124" s="104"/>
      <c r="Q124" s="104"/>
      <c r="R124" s="104"/>
      <c r="S124" s="147"/>
      <c r="T124" s="146"/>
      <c r="U124" s="542">
        <v>67</v>
      </c>
      <c r="V124" s="1305"/>
      <c r="W124" s="1306"/>
      <c r="X124" s="568"/>
      <c r="Y124" s="104"/>
      <c r="Z124" s="104"/>
      <c r="AA124" s="104"/>
      <c r="AB124" s="104"/>
      <c r="AC124" s="104"/>
      <c r="AD124" s="104"/>
      <c r="AE124" s="104"/>
      <c r="AF124" s="104"/>
      <c r="AG124" s="104"/>
      <c r="AH124" s="104"/>
      <c r="AI124" s="104"/>
      <c r="AJ124" s="104"/>
      <c r="AK124" s="104"/>
      <c r="AL124" s="147"/>
    </row>
    <row r="125" spans="1:38">
      <c r="A125" s="146"/>
      <c r="B125" s="542">
        <v>68</v>
      </c>
      <c r="C125" s="1305"/>
      <c r="D125" s="1306"/>
      <c r="E125" s="568"/>
      <c r="F125" s="104"/>
      <c r="G125" s="104"/>
      <c r="H125" s="104"/>
      <c r="I125" s="104"/>
      <c r="J125" s="104"/>
      <c r="K125" s="104"/>
      <c r="L125" s="104"/>
      <c r="M125" s="104"/>
      <c r="N125" s="104"/>
      <c r="O125" s="104"/>
      <c r="P125" s="104"/>
      <c r="Q125" s="104"/>
      <c r="R125" s="104"/>
      <c r="S125" s="147"/>
      <c r="T125" s="146"/>
      <c r="U125" s="542">
        <v>68</v>
      </c>
      <c r="V125" s="1305"/>
      <c r="W125" s="1306"/>
      <c r="X125" s="568"/>
      <c r="Y125" s="104"/>
      <c r="Z125" s="104"/>
      <c r="AA125" s="104"/>
      <c r="AB125" s="104"/>
      <c r="AC125" s="104"/>
      <c r="AD125" s="104"/>
      <c r="AE125" s="104"/>
      <c r="AF125" s="104"/>
      <c r="AG125" s="104"/>
      <c r="AH125" s="104"/>
      <c r="AI125" s="104"/>
      <c r="AJ125" s="104"/>
      <c r="AK125" s="104"/>
      <c r="AL125" s="147"/>
    </row>
    <row r="126" spans="1:38">
      <c r="A126" s="146"/>
      <c r="B126" s="542">
        <v>69</v>
      </c>
      <c r="C126" s="1305"/>
      <c r="D126" s="1306"/>
      <c r="E126" s="568"/>
      <c r="F126" s="104"/>
      <c r="G126" s="104"/>
      <c r="H126" s="104"/>
      <c r="I126" s="104"/>
      <c r="J126" s="104"/>
      <c r="K126" s="104"/>
      <c r="L126" s="104"/>
      <c r="M126" s="104"/>
      <c r="N126" s="104"/>
      <c r="O126" s="104"/>
      <c r="P126" s="104"/>
      <c r="Q126" s="104"/>
      <c r="R126" s="104"/>
      <c r="S126" s="147"/>
      <c r="T126" s="146"/>
      <c r="U126" s="542">
        <v>69</v>
      </c>
      <c r="V126" s="1305"/>
      <c r="W126" s="1306"/>
      <c r="X126" s="568"/>
      <c r="Y126" s="104"/>
      <c r="Z126" s="104"/>
      <c r="AA126" s="104"/>
      <c r="AB126" s="104"/>
      <c r="AC126" s="104"/>
      <c r="AD126" s="104"/>
      <c r="AE126" s="104"/>
      <c r="AF126" s="104"/>
      <c r="AG126" s="104"/>
      <c r="AH126" s="104"/>
      <c r="AI126" s="104"/>
      <c r="AJ126" s="104"/>
      <c r="AK126" s="104"/>
      <c r="AL126" s="147"/>
    </row>
    <row r="127" spans="1:38">
      <c r="A127" s="146"/>
      <c r="B127" s="542">
        <v>70</v>
      </c>
      <c r="C127" s="1305"/>
      <c r="D127" s="1306"/>
      <c r="E127" s="568"/>
      <c r="F127" s="104"/>
      <c r="G127" s="104"/>
      <c r="H127" s="104"/>
      <c r="I127" s="104"/>
      <c r="J127" s="104"/>
      <c r="K127" s="104"/>
      <c r="L127" s="104"/>
      <c r="M127" s="104"/>
      <c r="N127" s="104"/>
      <c r="O127" s="104"/>
      <c r="P127" s="104"/>
      <c r="Q127" s="104"/>
      <c r="R127" s="104"/>
      <c r="S127" s="147"/>
      <c r="T127" s="146"/>
      <c r="U127" s="542">
        <v>70</v>
      </c>
      <c r="V127" s="1305"/>
      <c r="W127" s="1306"/>
      <c r="X127" s="568"/>
      <c r="Y127" s="104"/>
      <c r="Z127" s="104"/>
      <c r="AA127" s="104"/>
      <c r="AB127" s="104"/>
      <c r="AC127" s="104"/>
      <c r="AD127" s="104"/>
      <c r="AE127" s="104"/>
      <c r="AF127" s="104"/>
      <c r="AG127" s="104"/>
      <c r="AH127" s="104"/>
      <c r="AI127" s="104"/>
      <c r="AJ127" s="104"/>
      <c r="AK127" s="104"/>
      <c r="AL127" s="147"/>
    </row>
    <row r="128" spans="1:38">
      <c r="A128" s="146"/>
      <c r="B128" s="542">
        <v>71</v>
      </c>
      <c r="C128" s="1305"/>
      <c r="D128" s="1306"/>
      <c r="E128" s="568"/>
      <c r="F128" s="104"/>
      <c r="G128" s="104"/>
      <c r="H128" s="104"/>
      <c r="I128" s="104"/>
      <c r="J128" s="104"/>
      <c r="K128" s="104"/>
      <c r="L128" s="104"/>
      <c r="M128" s="104"/>
      <c r="N128" s="104"/>
      <c r="O128" s="104"/>
      <c r="P128" s="104"/>
      <c r="Q128" s="104"/>
      <c r="R128" s="104"/>
      <c r="S128" s="147"/>
      <c r="T128" s="146"/>
      <c r="U128" s="542">
        <v>71</v>
      </c>
      <c r="V128" s="1305"/>
      <c r="W128" s="1306"/>
      <c r="X128" s="568"/>
      <c r="Y128" s="104"/>
      <c r="Z128" s="104"/>
      <c r="AA128" s="104"/>
      <c r="AB128" s="104"/>
      <c r="AC128" s="104"/>
      <c r="AD128" s="104"/>
      <c r="AE128" s="104"/>
      <c r="AF128" s="104"/>
      <c r="AG128" s="104"/>
      <c r="AH128" s="104"/>
      <c r="AI128" s="104"/>
      <c r="AJ128" s="104"/>
      <c r="AK128" s="104"/>
      <c r="AL128" s="147"/>
    </row>
    <row r="129" spans="1:38">
      <c r="A129" s="146"/>
      <c r="B129" s="542">
        <v>72</v>
      </c>
      <c r="C129" s="1305"/>
      <c r="D129" s="1306"/>
      <c r="E129" s="568"/>
      <c r="F129" s="104"/>
      <c r="G129" s="104"/>
      <c r="H129" s="104"/>
      <c r="I129" s="104"/>
      <c r="J129" s="104"/>
      <c r="K129" s="104"/>
      <c r="L129" s="104"/>
      <c r="M129" s="104"/>
      <c r="N129" s="104"/>
      <c r="O129" s="104"/>
      <c r="P129" s="104"/>
      <c r="Q129" s="104"/>
      <c r="R129" s="104"/>
      <c r="S129" s="147"/>
      <c r="T129" s="146"/>
      <c r="U129" s="542">
        <v>72</v>
      </c>
      <c r="V129" s="1305"/>
      <c r="W129" s="1306"/>
      <c r="X129" s="568"/>
      <c r="Y129" s="104"/>
      <c r="Z129" s="104"/>
      <c r="AA129" s="104"/>
      <c r="AB129" s="104"/>
      <c r="AC129" s="104"/>
      <c r="AD129" s="104"/>
      <c r="AE129" s="104"/>
      <c r="AF129" s="104"/>
      <c r="AG129" s="104"/>
      <c r="AH129" s="104"/>
      <c r="AI129" s="104"/>
      <c r="AJ129" s="104"/>
      <c r="AK129" s="104"/>
      <c r="AL129" s="147"/>
    </row>
    <row r="130" spans="1:38">
      <c r="A130" s="146"/>
      <c r="B130" s="542">
        <v>73</v>
      </c>
      <c r="C130" s="1305"/>
      <c r="D130" s="1306"/>
      <c r="E130" s="568"/>
      <c r="F130" s="104"/>
      <c r="G130" s="104"/>
      <c r="H130" s="104"/>
      <c r="I130" s="104"/>
      <c r="J130" s="104"/>
      <c r="K130" s="104"/>
      <c r="L130" s="104"/>
      <c r="M130" s="104"/>
      <c r="N130" s="104"/>
      <c r="O130" s="104"/>
      <c r="P130" s="104"/>
      <c r="Q130" s="104"/>
      <c r="R130" s="104"/>
      <c r="S130" s="147"/>
      <c r="T130" s="146"/>
      <c r="U130" s="542">
        <v>73</v>
      </c>
      <c r="V130" s="1305"/>
      <c r="W130" s="1306"/>
      <c r="X130" s="568"/>
      <c r="Y130" s="104"/>
      <c r="Z130" s="104"/>
      <c r="AA130" s="104"/>
      <c r="AB130" s="104"/>
      <c r="AC130" s="104"/>
      <c r="AD130" s="104"/>
      <c r="AE130" s="104"/>
      <c r="AF130" s="104"/>
      <c r="AG130" s="104"/>
      <c r="AH130" s="104"/>
      <c r="AI130" s="104"/>
      <c r="AJ130" s="104"/>
      <c r="AK130" s="104"/>
      <c r="AL130" s="147"/>
    </row>
    <row r="131" spans="1:38">
      <c r="A131" s="146"/>
      <c r="B131" s="542">
        <v>74</v>
      </c>
      <c r="C131" s="1305"/>
      <c r="D131" s="1306"/>
      <c r="E131" s="568"/>
      <c r="F131" s="104"/>
      <c r="G131" s="104"/>
      <c r="H131" s="104"/>
      <c r="I131" s="104"/>
      <c r="J131" s="104"/>
      <c r="K131" s="104"/>
      <c r="L131" s="104"/>
      <c r="M131" s="104"/>
      <c r="N131" s="104"/>
      <c r="O131" s="104"/>
      <c r="P131" s="104"/>
      <c r="Q131" s="104"/>
      <c r="R131" s="104"/>
      <c r="S131" s="147"/>
      <c r="T131" s="146"/>
      <c r="U131" s="542">
        <v>74</v>
      </c>
      <c r="V131" s="1305"/>
      <c r="W131" s="1306"/>
      <c r="X131" s="568"/>
      <c r="Y131" s="104"/>
      <c r="Z131" s="104"/>
      <c r="AA131" s="104"/>
      <c r="AB131" s="104"/>
      <c r="AC131" s="104"/>
      <c r="AD131" s="104"/>
      <c r="AE131" s="104"/>
      <c r="AF131" s="104"/>
      <c r="AG131" s="104"/>
      <c r="AH131" s="104"/>
      <c r="AI131" s="104"/>
      <c r="AJ131" s="104"/>
      <c r="AK131" s="104"/>
      <c r="AL131" s="147"/>
    </row>
    <row r="132" spans="1:38">
      <c r="A132" s="146"/>
      <c r="B132" s="542">
        <v>75</v>
      </c>
      <c r="C132" s="1305"/>
      <c r="D132" s="1306"/>
      <c r="E132" s="568"/>
      <c r="F132" s="104"/>
      <c r="G132" s="104"/>
      <c r="H132" s="104"/>
      <c r="I132" s="104"/>
      <c r="J132" s="104"/>
      <c r="K132" s="104"/>
      <c r="L132" s="104"/>
      <c r="M132" s="104"/>
      <c r="N132" s="104"/>
      <c r="O132" s="104"/>
      <c r="P132" s="104"/>
      <c r="Q132" s="104"/>
      <c r="R132" s="104"/>
      <c r="S132" s="147"/>
      <c r="T132" s="146"/>
      <c r="U132" s="542">
        <v>75</v>
      </c>
      <c r="V132" s="1305"/>
      <c r="W132" s="1306"/>
      <c r="X132" s="568"/>
      <c r="Y132" s="104"/>
      <c r="Z132" s="104"/>
      <c r="AA132" s="104"/>
      <c r="AB132" s="104"/>
      <c r="AC132" s="104"/>
      <c r="AD132" s="104"/>
      <c r="AE132" s="104"/>
      <c r="AF132" s="104"/>
      <c r="AG132" s="104"/>
      <c r="AH132" s="104"/>
      <c r="AI132" s="104"/>
      <c r="AJ132" s="104"/>
      <c r="AK132" s="104"/>
      <c r="AL132" s="147"/>
    </row>
    <row r="133" spans="1:38">
      <c r="A133" s="146"/>
      <c r="B133" s="542">
        <v>76</v>
      </c>
      <c r="C133" s="1305"/>
      <c r="D133" s="1306"/>
      <c r="E133" s="568"/>
      <c r="F133" s="104"/>
      <c r="G133" s="104"/>
      <c r="H133" s="104"/>
      <c r="I133" s="104"/>
      <c r="J133" s="104"/>
      <c r="K133" s="104"/>
      <c r="L133" s="104"/>
      <c r="M133" s="104"/>
      <c r="N133" s="104"/>
      <c r="O133" s="104"/>
      <c r="P133" s="104"/>
      <c r="Q133" s="104"/>
      <c r="R133" s="104"/>
      <c r="S133" s="147"/>
      <c r="T133" s="146"/>
      <c r="U133" s="542">
        <v>76</v>
      </c>
      <c r="V133" s="1305"/>
      <c r="W133" s="1306"/>
      <c r="X133" s="568"/>
      <c r="Y133" s="104"/>
      <c r="Z133" s="104"/>
      <c r="AA133" s="104"/>
      <c r="AB133" s="104"/>
      <c r="AC133" s="104"/>
      <c r="AD133" s="104"/>
      <c r="AE133" s="104"/>
      <c r="AF133" s="104"/>
      <c r="AG133" s="104"/>
      <c r="AH133" s="104"/>
      <c r="AI133" s="104"/>
      <c r="AJ133" s="104"/>
      <c r="AK133" s="104"/>
      <c r="AL133" s="147"/>
    </row>
    <row r="134" spans="1:38">
      <c r="A134" s="146"/>
      <c r="B134" s="542">
        <v>77</v>
      </c>
      <c r="C134" s="1305"/>
      <c r="D134" s="1306"/>
      <c r="E134" s="568"/>
      <c r="F134" s="104"/>
      <c r="G134" s="104"/>
      <c r="H134" s="104"/>
      <c r="I134" s="104"/>
      <c r="J134" s="104"/>
      <c r="K134" s="104"/>
      <c r="L134" s="104"/>
      <c r="M134" s="104"/>
      <c r="N134" s="104"/>
      <c r="O134" s="104"/>
      <c r="P134" s="104"/>
      <c r="Q134" s="104"/>
      <c r="R134" s="104"/>
      <c r="S134" s="147"/>
      <c r="T134" s="146"/>
      <c r="U134" s="542">
        <v>77</v>
      </c>
      <c r="V134" s="1305"/>
      <c r="W134" s="1306"/>
      <c r="X134" s="568"/>
      <c r="Y134" s="104"/>
      <c r="Z134" s="104"/>
      <c r="AA134" s="104"/>
      <c r="AB134" s="104"/>
      <c r="AC134" s="104"/>
      <c r="AD134" s="104"/>
      <c r="AE134" s="104"/>
      <c r="AF134" s="104"/>
      <c r="AG134" s="104"/>
      <c r="AH134" s="104"/>
      <c r="AI134" s="104"/>
      <c r="AJ134" s="104"/>
      <c r="AK134" s="104"/>
      <c r="AL134" s="147"/>
    </row>
    <row r="135" spans="1:38">
      <c r="A135" s="146"/>
      <c r="B135" s="542">
        <v>78</v>
      </c>
      <c r="C135" s="1305"/>
      <c r="D135" s="1306"/>
      <c r="E135" s="568"/>
      <c r="F135" s="104"/>
      <c r="G135" s="104"/>
      <c r="H135" s="104"/>
      <c r="I135" s="104"/>
      <c r="J135" s="104"/>
      <c r="K135" s="104"/>
      <c r="L135" s="104"/>
      <c r="M135" s="104"/>
      <c r="N135" s="104"/>
      <c r="O135" s="104"/>
      <c r="P135" s="104"/>
      <c r="Q135" s="104"/>
      <c r="R135" s="104"/>
      <c r="S135" s="147"/>
      <c r="T135" s="146"/>
      <c r="U135" s="542">
        <v>78</v>
      </c>
      <c r="V135" s="1305"/>
      <c r="W135" s="1306"/>
      <c r="X135" s="568"/>
      <c r="Y135" s="104"/>
      <c r="Z135" s="104"/>
      <c r="AA135" s="104"/>
      <c r="AB135" s="104"/>
      <c r="AC135" s="104"/>
      <c r="AD135" s="104"/>
      <c r="AE135" s="104"/>
      <c r="AF135" s="104"/>
      <c r="AG135" s="104"/>
      <c r="AH135" s="104"/>
      <c r="AI135" s="104"/>
      <c r="AJ135" s="104"/>
      <c r="AK135" s="104"/>
      <c r="AL135" s="147"/>
    </row>
    <row r="136" spans="1:38">
      <c r="A136" s="146"/>
      <c r="B136" s="542">
        <v>79</v>
      </c>
      <c r="C136" s="1305"/>
      <c r="D136" s="1306"/>
      <c r="E136" s="568"/>
      <c r="F136" s="104"/>
      <c r="G136" s="104"/>
      <c r="H136" s="104"/>
      <c r="I136" s="104"/>
      <c r="J136" s="104"/>
      <c r="K136" s="104"/>
      <c r="L136" s="104"/>
      <c r="M136" s="104"/>
      <c r="N136" s="104"/>
      <c r="O136" s="104"/>
      <c r="P136" s="104"/>
      <c r="Q136" s="104"/>
      <c r="R136" s="104"/>
      <c r="S136" s="147"/>
      <c r="T136" s="146"/>
      <c r="U136" s="542">
        <v>79</v>
      </c>
      <c r="V136" s="1305"/>
      <c r="W136" s="1306"/>
      <c r="X136" s="568"/>
      <c r="Y136" s="104"/>
      <c r="Z136" s="104"/>
      <c r="AA136" s="104"/>
      <c r="AB136" s="104"/>
      <c r="AC136" s="104"/>
      <c r="AD136" s="104"/>
      <c r="AE136" s="104"/>
      <c r="AF136" s="104"/>
      <c r="AG136" s="104"/>
      <c r="AH136" s="104"/>
      <c r="AI136" s="104"/>
      <c r="AJ136" s="104"/>
      <c r="AK136" s="104"/>
      <c r="AL136" s="147"/>
    </row>
    <row r="137" spans="1:38">
      <c r="A137" s="146"/>
      <c r="B137" s="542">
        <v>80</v>
      </c>
      <c r="C137" s="1305"/>
      <c r="D137" s="1306"/>
      <c r="E137" s="568"/>
      <c r="F137" s="104"/>
      <c r="G137" s="104"/>
      <c r="H137" s="104"/>
      <c r="I137" s="104"/>
      <c r="J137" s="104"/>
      <c r="K137" s="104"/>
      <c r="L137" s="104"/>
      <c r="M137" s="104"/>
      <c r="N137" s="104"/>
      <c r="O137" s="104"/>
      <c r="P137" s="104"/>
      <c r="Q137" s="104"/>
      <c r="R137" s="104"/>
      <c r="S137" s="147"/>
      <c r="T137" s="146"/>
      <c r="U137" s="542">
        <v>80</v>
      </c>
      <c r="V137" s="1305"/>
      <c r="W137" s="1306"/>
      <c r="X137" s="568"/>
      <c r="Y137" s="104"/>
      <c r="Z137" s="104"/>
      <c r="AA137" s="104"/>
      <c r="AB137" s="104"/>
      <c r="AC137" s="104"/>
      <c r="AD137" s="104"/>
      <c r="AE137" s="104"/>
      <c r="AF137" s="104"/>
      <c r="AG137" s="104"/>
      <c r="AH137" s="104"/>
      <c r="AI137" s="104"/>
      <c r="AJ137" s="104"/>
      <c r="AK137" s="104"/>
      <c r="AL137" s="147"/>
    </row>
    <row r="138" spans="1:38">
      <c r="A138" s="146"/>
      <c r="B138" s="542">
        <v>81</v>
      </c>
      <c r="C138" s="1305"/>
      <c r="D138" s="1306"/>
      <c r="E138" s="568"/>
      <c r="F138" s="104"/>
      <c r="G138" s="104"/>
      <c r="H138" s="104"/>
      <c r="I138" s="104"/>
      <c r="J138" s="104"/>
      <c r="K138" s="104"/>
      <c r="L138" s="104"/>
      <c r="M138" s="104"/>
      <c r="N138" s="104"/>
      <c r="O138" s="104"/>
      <c r="P138" s="104"/>
      <c r="Q138" s="104"/>
      <c r="R138" s="104"/>
      <c r="S138" s="147"/>
      <c r="T138" s="146"/>
      <c r="U138" s="542">
        <v>81</v>
      </c>
      <c r="V138" s="1305"/>
      <c r="W138" s="1306"/>
      <c r="X138" s="568"/>
      <c r="Y138" s="104"/>
      <c r="Z138" s="104"/>
      <c r="AA138" s="104"/>
      <c r="AB138" s="104"/>
      <c r="AC138" s="104"/>
      <c r="AD138" s="104"/>
      <c r="AE138" s="104"/>
      <c r="AF138" s="104"/>
      <c r="AG138" s="104"/>
      <c r="AH138" s="104"/>
      <c r="AI138" s="104"/>
      <c r="AJ138" s="104"/>
      <c r="AK138" s="104"/>
      <c r="AL138" s="147"/>
    </row>
    <row r="139" spans="1:38">
      <c r="A139" s="146"/>
      <c r="B139" s="542">
        <v>82</v>
      </c>
      <c r="C139" s="1305"/>
      <c r="D139" s="1306"/>
      <c r="E139" s="568"/>
      <c r="F139" s="104"/>
      <c r="G139" s="104"/>
      <c r="H139" s="104"/>
      <c r="I139" s="104"/>
      <c r="J139" s="104"/>
      <c r="K139" s="104"/>
      <c r="L139" s="104"/>
      <c r="M139" s="104"/>
      <c r="N139" s="104"/>
      <c r="O139" s="104"/>
      <c r="P139" s="104"/>
      <c r="Q139" s="104"/>
      <c r="R139" s="104"/>
      <c r="S139" s="147"/>
      <c r="T139" s="146"/>
      <c r="U139" s="542">
        <v>82</v>
      </c>
      <c r="V139" s="1305"/>
      <c r="W139" s="1306"/>
      <c r="X139" s="568"/>
      <c r="Y139" s="104"/>
      <c r="Z139" s="104"/>
      <c r="AA139" s="104"/>
      <c r="AB139" s="104"/>
      <c r="AC139" s="104"/>
      <c r="AD139" s="104"/>
      <c r="AE139" s="104"/>
      <c r="AF139" s="104"/>
      <c r="AG139" s="104"/>
      <c r="AH139" s="104"/>
      <c r="AI139" s="104"/>
      <c r="AJ139" s="104"/>
      <c r="AK139" s="104"/>
      <c r="AL139" s="147"/>
    </row>
    <row r="140" spans="1:38">
      <c r="A140" s="146"/>
      <c r="B140" s="542">
        <v>83</v>
      </c>
      <c r="C140" s="1305"/>
      <c r="D140" s="1306"/>
      <c r="E140" s="568"/>
      <c r="F140" s="104"/>
      <c r="G140" s="104"/>
      <c r="H140" s="104"/>
      <c r="I140" s="104"/>
      <c r="J140" s="104"/>
      <c r="K140" s="104"/>
      <c r="L140" s="104"/>
      <c r="M140" s="104"/>
      <c r="N140" s="104"/>
      <c r="O140" s="104"/>
      <c r="P140" s="104"/>
      <c r="Q140" s="104"/>
      <c r="R140" s="104"/>
      <c r="S140" s="147"/>
      <c r="T140" s="146"/>
      <c r="U140" s="542">
        <v>83</v>
      </c>
      <c r="V140" s="1305"/>
      <c r="W140" s="1306"/>
      <c r="X140" s="568"/>
      <c r="Y140" s="104"/>
      <c r="Z140" s="104"/>
      <c r="AA140" s="104"/>
      <c r="AB140" s="104"/>
      <c r="AC140" s="104"/>
      <c r="AD140" s="104"/>
      <c r="AE140" s="104"/>
      <c r="AF140" s="104"/>
      <c r="AG140" s="104"/>
      <c r="AH140" s="104"/>
      <c r="AI140" s="104"/>
      <c r="AJ140" s="104"/>
      <c r="AK140" s="104"/>
      <c r="AL140" s="147"/>
    </row>
    <row r="141" spans="1:38">
      <c r="A141" s="146"/>
      <c r="B141" s="542">
        <v>84</v>
      </c>
      <c r="C141" s="1305"/>
      <c r="D141" s="1306"/>
      <c r="E141" s="568"/>
      <c r="F141" s="104"/>
      <c r="G141" s="104"/>
      <c r="H141" s="104"/>
      <c r="I141" s="104"/>
      <c r="J141" s="104"/>
      <c r="K141" s="104"/>
      <c r="L141" s="104"/>
      <c r="M141" s="104"/>
      <c r="N141" s="104"/>
      <c r="O141" s="104"/>
      <c r="P141" s="104"/>
      <c r="Q141" s="104"/>
      <c r="R141" s="104"/>
      <c r="S141" s="147"/>
      <c r="T141" s="146"/>
      <c r="U141" s="542">
        <v>84</v>
      </c>
      <c r="V141" s="1305"/>
      <c r="W141" s="1306"/>
      <c r="X141" s="568"/>
      <c r="Y141" s="104"/>
      <c r="Z141" s="104"/>
      <c r="AA141" s="104"/>
      <c r="AB141" s="104"/>
      <c r="AC141" s="104"/>
      <c r="AD141" s="104"/>
      <c r="AE141" s="104"/>
      <c r="AF141" s="104"/>
      <c r="AG141" s="104"/>
      <c r="AH141" s="104"/>
      <c r="AI141" s="104"/>
      <c r="AJ141" s="104"/>
      <c r="AK141" s="104"/>
      <c r="AL141" s="147"/>
    </row>
    <row r="142" spans="1:38">
      <c r="A142" s="146"/>
      <c r="B142" s="542">
        <v>85</v>
      </c>
      <c r="C142" s="1305"/>
      <c r="D142" s="1306"/>
      <c r="E142" s="568"/>
      <c r="F142" s="104"/>
      <c r="G142" s="104"/>
      <c r="H142" s="104"/>
      <c r="I142" s="104"/>
      <c r="J142" s="104"/>
      <c r="K142" s="104"/>
      <c r="L142" s="104"/>
      <c r="M142" s="104"/>
      <c r="N142" s="104"/>
      <c r="O142" s="104"/>
      <c r="P142" s="104"/>
      <c r="Q142" s="104"/>
      <c r="R142" s="104"/>
      <c r="S142" s="147"/>
      <c r="T142" s="146"/>
      <c r="U142" s="542">
        <v>85</v>
      </c>
      <c r="V142" s="1305"/>
      <c r="W142" s="1306"/>
      <c r="X142" s="568"/>
      <c r="Y142" s="104"/>
      <c r="Z142" s="104"/>
      <c r="AA142" s="104"/>
      <c r="AB142" s="104"/>
      <c r="AC142" s="104"/>
      <c r="AD142" s="104"/>
      <c r="AE142" s="104"/>
      <c r="AF142" s="104"/>
      <c r="AG142" s="104"/>
      <c r="AH142" s="104"/>
      <c r="AI142" s="104"/>
      <c r="AJ142" s="104"/>
      <c r="AK142" s="104"/>
      <c r="AL142" s="147"/>
    </row>
    <row r="143" spans="1:38">
      <c r="A143" s="146"/>
      <c r="B143" s="542">
        <v>86</v>
      </c>
      <c r="C143" s="1305"/>
      <c r="D143" s="1306"/>
      <c r="E143" s="568"/>
      <c r="F143" s="104"/>
      <c r="G143" s="104"/>
      <c r="H143" s="104"/>
      <c r="I143" s="104"/>
      <c r="J143" s="104"/>
      <c r="K143" s="104"/>
      <c r="L143" s="104"/>
      <c r="M143" s="104"/>
      <c r="N143" s="104"/>
      <c r="O143" s="104"/>
      <c r="P143" s="104"/>
      <c r="Q143" s="104"/>
      <c r="R143" s="104"/>
      <c r="S143" s="147"/>
      <c r="T143" s="146"/>
      <c r="U143" s="542">
        <v>86</v>
      </c>
      <c r="V143" s="1305"/>
      <c r="W143" s="1306"/>
      <c r="X143" s="568"/>
      <c r="Y143" s="104"/>
      <c r="Z143" s="104"/>
      <c r="AA143" s="104"/>
      <c r="AB143" s="104"/>
      <c r="AC143" s="104"/>
      <c r="AD143" s="104"/>
      <c r="AE143" s="104"/>
      <c r="AF143" s="104"/>
      <c r="AG143" s="104"/>
      <c r="AH143" s="104"/>
      <c r="AI143" s="104"/>
      <c r="AJ143" s="104"/>
      <c r="AK143" s="104"/>
      <c r="AL143" s="147"/>
    </row>
    <row r="144" spans="1:38">
      <c r="A144" s="146"/>
      <c r="B144" s="542">
        <v>87</v>
      </c>
      <c r="C144" s="1305"/>
      <c r="D144" s="1306"/>
      <c r="E144" s="568"/>
      <c r="F144" s="104"/>
      <c r="G144" s="104"/>
      <c r="H144" s="104"/>
      <c r="I144" s="104"/>
      <c r="J144" s="104"/>
      <c r="K144" s="104"/>
      <c r="L144" s="104"/>
      <c r="M144" s="104"/>
      <c r="N144" s="104"/>
      <c r="O144" s="104"/>
      <c r="P144" s="104"/>
      <c r="Q144" s="104"/>
      <c r="R144" s="104"/>
      <c r="S144" s="147"/>
      <c r="T144" s="146"/>
      <c r="U144" s="542">
        <v>87</v>
      </c>
      <c r="V144" s="1305"/>
      <c r="W144" s="1306"/>
      <c r="X144" s="568"/>
      <c r="Y144" s="104"/>
      <c r="Z144" s="104"/>
      <c r="AA144" s="104"/>
      <c r="AB144" s="104"/>
      <c r="AC144" s="104"/>
      <c r="AD144" s="104"/>
      <c r="AE144" s="104"/>
      <c r="AF144" s="104"/>
      <c r="AG144" s="104"/>
      <c r="AH144" s="104"/>
      <c r="AI144" s="104"/>
      <c r="AJ144" s="104"/>
      <c r="AK144" s="104"/>
      <c r="AL144" s="147"/>
    </row>
    <row r="145" spans="1:38">
      <c r="A145" s="146"/>
      <c r="B145" s="542">
        <v>88</v>
      </c>
      <c r="C145" s="1305"/>
      <c r="D145" s="1306"/>
      <c r="E145" s="568"/>
      <c r="F145" s="104"/>
      <c r="G145" s="104"/>
      <c r="H145" s="104"/>
      <c r="I145" s="104"/>
      <c r="J145" s="104"/>
      <c r="K145" s="104"/>
      <c r="L145" s="104"/>
      <c r="M145" s="104"/>
      <c r="N145" s="104"/>
      <c r="O145" s="104"/>
      <c r="P145" s="104"/>
      <c r="Q145" s="104"/>
      <c r="R145" s="104"/>
      <c r="S145" s="147"/>
      <c r="T145" s="146"/>
      <c r="U145" s="542">
        <v>88</v>
      </c>
      <c r="V145" s="1305"/>
      <c r="W145" s="1306"/>
      <c r="X145" s="568"/>
      <c r="Y145" s="104"/>
      <c r="Z145" s="104"/>
      <c r="AA145" s="104"/>
      <c r="AB145" s="104"/>
      <c r="AC145" s="104"/>
      <c r="AD145" s="104"/>
      <c r="AE145" s="104"/>
      <c r="AF145" s="104"/>
      <c r="AG145" s="104"/>
      <c r="AH145" s="104"/>
      <c r="AI145" s="104"/>
      <c r="AJ145" s="104"/>
      <c r="AK145" s="104"/>
      <c r="AL145" s="147"/>
    </row>
    <row r="146" spans="1:38">
      <c r="A146" s="146"/>
      <c r="B146" s="542">
        <v>89</v>
      </c>
      <c r="C146" s="1305"/>
      <c r="D146" s="1306"/>
      <c r="E146" s="568"/>
      <c r="F146" s="104"/>
      <c r="G146" s="104"/>
      <c r="H146" s="104"/>
      <c r="I146" s="104"/>
      <c r="J146" s="104"/>
      <c r="K146" s="104"/>
      <c r="L146" s="104"/>
      <c r="M146" s="104"/>
      <c r="N146" s="104"/>
      <c r="O146" s="104"/>
      <c r="P146" s="104"/>
      <c r="Q146" s="104"/>
      <c r="R146" s="104"/>
      <c r="S146" s="147"/>
      <c r="T146" s="146"/>
      <c r="U146" s="542">
        <v>89</v>
      </c>
      <c r="V146" s="1305"/>
      <c r="W146" s="1306"/>
      <c r="X146" s="568"/>
      <c r="Y146" s="104"/>
      <c r="Z146" s="104"/>
      <c r="AA146" s="104"/>
      <c r="AB146" s="104"/>
      <c r="AC146" s="104"/>
      <c r="AD146" s="104"/>
      <c r="AE146" s="104"/>
      <c r="AF146" s="104"/>
      <c r="AG146" s="104"/>
      <c r="AH146" s="104"/>
      <c r="AI146" s="104"/>
      <c r="AJ146" s="104"/>
      <c r="AK146" s="104"/>
      <c r="AL146" s="147"/>
    </row>
    <row r="147" spans="1:38">
      <c r="A147" s="146"/>
      <c r="B147" s="542">
        <v>90</v>
      </c>
      <c r="C147" s="1305"/>
      <c r="D147" s="1306"/>
      <c r="E147" s="568"/>
      <c r="F147" s="104"/>
      <c r="G147" s="104"/>
      <c r="H147" s="104"/>
      <c r="I147" s="104"/>
      <c r="J147" s="104"/>
      <c r="K147" s="104"/>
      <c r="L147" s="104"/>
      <c r="M147" s="104"/>
      <c r="N147" s="104"/>
      <c r="O147" s="104"/>
      <c r="P147" s="104"/>
      <c r="Q147" s="104"/>
      <c r="R147" s="104"/>
      <c r="S147" s="147"/>
      <c r="T147" s="146"/>
      <c r="U147" s="542">
        <v>90</v>
      </c>
      <c r="V147" s="1305"/>
      <c r="W147" s="1306"/>
      <c r="X147" s="568"/>
      <c r="Y147" s="104"/>
      <c r="Z147" s="104"/>
      <c r="AA147" s="104"/>
      <c r="AB147" s="104"/>
      <c r="AC147" s="104"/>
      <c r="AD147" s="104"/>
      <c r="AE147" s="104"/>
      <c r="AF147" s="104"/>
      <c r="AG147" s="104"/>
      <c r="AH147" s="104"/>
      <c r="AI147" s="104"/>
      <c r="AJ147" s="104"/>
      <c r="AK147" s="104"/>
      <c r="AL147" s="147"/>
    </row>
    <row r="148" spans="1:38">
      <c r="A148" s="146"/>
      <c r="B148" s="542">
        <v>91</v>
      </c>
      <c r="C148" s="1305"/>
      <c r="D148" s="1306"/>
      <c r="E148" s="568"/>
      <c r="F148" s="104"/>
      <c r="G148" s="104"/>
      <c r="H148" s="104"/>
      <c r="I148" s="104"/>
      <c r="J148" s="104"/>
      <c r="K148" s="104"/>
      <c r="L148" s="104"/>
      <c r="M148" s="104"/>
      <c r="N148" s="104"/>
      <c r="O148" s="104"/>
      <c r="P148" s="104"/>
      <c r="Q148" s="104"/>
      <c r="R148" s="104"/>
      <c r="S148" s="147"/>
      <c r="T148" s="146"/>
      <c r="U148" s="542">
        <v>91</v>
      </c>
      <c r="V148" s="1305"/>
      <c r="W148" s="1306"/>
      <c r="X148" s="568"/>
      <c r="Y148" s="104"/>
      <c r="Z148" s="104"/>
      <c r="AA148" s="104"/>
      <c r="AB148" s="104"/>
      <c r="AC148" s="104"/>
      <c r="AD148" s="104"/>
      <c r="AE148" s="104"/>
      <c r="AF148" s="104"/>
      <c r="AG148" s="104"/>
      <c r="AH148" s="104"/>
      <c r="AI148" s="104"/>
      <c r="AJ148" s="104"/>
      <c r="AK148" s="104"/>
      <c r="AL148" s="147"/>
    </row>
    <row r="149" spans="1:38">
      <c r="A149" s="146"/>
      <c r="B149" s="542">
        <v>92</v>
      </c>
      <c r="C149" s="1305"/>
      <c r="D149" s="1306"/>
      <c r="E149" s="568"/>
      <c r="F149" s="104"/>
      <c r="G149" s="104"/>
      <c r="H149" s="104"/>
      <c r="I149" s="104"/>
      <c r="J149" s="104"/>
      <c r="K149" s="104"/>
      <c r="L149" s="104"/>
      <c r="M149" s="104"/>
      <c r="N149" s="104"/>
      <c r="O149" s="104"/>
      <c r="P149" s="104"/>
      <c r="Q149" s="104"/>
      <c r="R149" s="104"/>
      <c r="S149" s="147"/>
      <c r="T149" s="146"/>
      <c r="U149" s="542">
        <v>92</v>
      </c>
      <c r="V149" s="1305"/>
      <c r="W149" s="1306"/>
      <c r="X149" s="568"/>
      <c r="Y149" s="104"/>
      <c r="Z149" s="104"/>
      <c r="AA149" s="104"/>
      <c r="AB149" s="104"/>
      <c r="AC149" s="104"/>
      <c r="AD149" s="104"/>
      <c r="AE149" s="104"/>
      <c r="AF149" s="104"/>
      <c r="AG149" s="104"/>
      <c r="AH149" s="104"/>
      <c r="AI149" s="104"/>
      <c r="AJ149" s="104"/>
      <c r="AK149" s="104"/>
      <c r="AL149" s="147"/>
    </row>
    <row r="150" spans="1:38">
      <c r="A150" s="146"/>
      <c r="B150" s="542">
        <v>93</v>
      </c>
      <c r="C150" s="1305"/>
      <c r="D150" s="1306"/>
      <c r="E150" s="568"/>
      <c r="F150" s="104"/>
      <c r="G150" s="104"/>
      <c r="H150" s="104"/>
      <c r="I150" s="104"/>
      <c r="J150" s="104"/>
      <c r="K150" s="104"/>
      <c r="L150" s="104"/>
      <c r="M150" s="104"/>
      <c r="N150" s="104"/>
      <c r="O150" s="104"/>
      <c r="P150" s="104"/>
      <c r="Q150" s="104"/>
      <c r="R150" s="104"/>
      <c r="S150" s="147"/>
      <c r="T150" s="146"/>
      <c r="U150" s="542">
        <v>93</v>
      </c>
      <c r="V150" s="1305"/>
      <c r="W150" s="1306"/>
      <c r="X150" s="568"/>
      <c r="Y150" s="104"/>
      <c r="Z150" s="104"/>
      <c r="AA150" s="104"/>
      <c r="AB150" s="104"/>
      <c r="AC150" s="104"/>
      <c r="AD150" s="104"/>
      <c r="AE150" s="104"/>
      <c r="AF150" s="104"/>
      <c r="AG150" s="104"/>
      <c r="AH150" s="104"/>
      <c r="AI150" s="104"/>
      <c r="AJ150" s="104"/>
      <c r="AK150" s="104"/>
      <c r="AL150" s="147"/>
    </row>
    <row r="151" spans="1:38">
      <c r="A151" s="146"/>
      <c r="B151" s="542">
        <v>94</v>
      </c>
      <c r="C151" s="1305"/>
      <c r="D151" s="1306"/>
      <c r="E151" s="568"/>
      <c r="F151" s="104"/>
      <c r="G151" s="104"/>
      <c r="H151" s="104"/>
      <c r="I151" s="104"/>
      <c r="J151" s="104"/>
      <c r="K151" s="104"/>
      <c r="L151" s="104"/>
      <c r="M151" s="104"/>
      <c r="N151" s="104"/>
      <c r="O151" s="104"/>
      <c r="P151" s="104"/>
      <c r="Q151" s="104"/>
      <c r="R151" s="104"/>
      <c r="S151" s="147"/>
      <c r="T151" s="146"/>
      <c r="U151" s="542">
        <v>94</v>
      </c>
      <c r="V151" s="1305"/>
      <c r="W151" s="1306"/>
      <c r="X151" s="568"/>
      <c r="Y151" s="104"/>
      <c r="Z151" s="104"/>
      <c r="AA151" s="104"/>
      <c r="AB151" s="104"/>
      <c r="AC151" s="104"/>
      <c r="AD151" s="104"/>
      <c r="AE151" s="104"/>
      <c r="AF151" s="104"/>
      <c r="AG151" s="104"/>
      <c r="AH151" s="104"/>
      <c r="AI151" s="104"/>
      <c r="AJ151" s="104"/>
      <c r="AK151" s="104"/>
      <c r="AL151" s="147"/>
    </row>
    <row r="152" spans="1:38">
      <c r="A152" s="146"/>
      <c r="B152" s="542">
        <v>95</v>
      </c>
      <c r="C152" s="1305"/>
      <c r="D152" s="1306"/>
      <c r="E152" s="568"/>
      <c r="F152" s="104"/>
      <c r="G152" s="104"/>
      <c r="H152" s="104"/>
      <c r="I152" s="104"/>
      <c r="J152" s="104"/>
      <c r="K152" s="104"/>
      <c r="L152" s="104"/>
      <c r="M152" s="104"/>
      <c r="N152" s="104"/>
      <c r="O152" s="104"/>
      <c r="P152" s="104"/>
      <c r="Q152" s="104"/>
      <c r="R152" s="104"/>
      <c r="S152" s="147"/>
      <c r="T152" s="146"/>
      <c r="U152" s="542">
        <v>95</v>
      </c>
      <c r="V152" s="1305"/>
      <c r="W152" s="1306"/>
      <c r="X152" s="568"/>
      <c r="Y152" s="104"/>
      <c r="Z152" s="104"/>
      <c r="AA152" s="104"/>
      <c r="AB152" s="104"/>
      <c r="AC152" s="104"/>
      <c r="AD152" s="104"/>
      <c r="AE152" s="104"/>
      <c r="AF152" s="104"/>
      <c r="AG152" s="104"/>
      <c r="AH152" s="104"/>
      <c r="AI152" s="104"/>
      <c r="AJ152" s="104"/>
      <c r="AK152" s="104"/>
      <c r="AL152" s="147"/>
    </row>
    <row r="153" spans="1:38">
      <c r="A153" s="146"/>
      <c r="B153" s="542">
        <v>96</v>
      </c>
      <c r="C153" s="1305"/>
      <c r="D153" s="1306"/>
      <c r="E153" s="568"/>
      <c r="F153" s="104"/>
      <c r="G153" s="104"/>
      <c r="H153" s="104"/>
      <c r="I153" s="104"/>
      <c r="J153" s="104"/>
      <c r="K153" s="104"/>
      <c r="L153" s="104"/>
      <c r="M153" s="104"/>
      <c r="N153" s="104"/>
      <c r="O153" s="104"/>
      <c r="P153" s="104"/>
      <c r="Q153" s="104"/>
      <c r="R153" s="104"/>
      <c r="S153" s="147"/>
      <c r="T153" s="146"/>
      <c r="U153" s="542">
        <v>96</v>
      </c>
      <c r="V153" s="1305"/>
      <c r="W153" s="1306"/>
      <c r="X153" s="568"/>
      <c r="Y153" s="104"/>
      <c r="Z153" s="104"/>
      <c r="AA153" s="104"/>
      <c r="AB153" s="104"/>
      <c r="AC153" s="104"/>
      <c r="AD153" s="104"/>
      <c r="AE153" s="104"/>
      <c r="AF153" s="104"/>
      <c r="AG153" s="104"/>
      <c r="AH153" s="104"/>
      <c r="AI153" s="104"/>
      <c r="AJ153" s="104"/>
      <c r="AK153" s="104"/>
      <c r="AL153" s="147"/>
    </row>
    <row r="154" spans="1:38">
      <c r="A154" s="146"/>
      <c r="B154" s="542">
        <v>97</v>
      </c>
      <c r="C154" s="1305"/>
      <c r="D154" s="1306"/>
      <c r="E154" s="568"/>
      <c r="F154" s="104"/>
      <c r="G154" s="104"/>
      <c r="H154" s="104"/>
      <c r="I154" s="104"/>
      <c r="J154" s="104"/>
      <c r="K154" s="104"/>
      <c r="L154" s="104"/>
      <c r="M154" s="104"/>
      <c r="N154" s="104"/>
      <c r="O154" s="104"/>
      <c r="P154" s="104"/>
      <c r="Q154" s="104"/>
      <c r="R154" s="104"/>
      <c r="S154" s="147"/>
      <c r="T154" s="146"/>
      <c r="U154" s="542">
        <v>97</v>
      </c>
      <c r="V154" s="1305"/>
      <c r="W154" s="1306"/>
      <c r="X154" s="568"/>
      <c r="Y154" s="104"/>
      <c r="Z154" s="104"/>
      <c r="AA154" s="104"/>
      <c r="AB154" s="104"/>
      <c r="AC154" s="104"/>
      <c r="AD154" s="104"/>
      <c r="AE154" s="104"/>
      <c r="AF154" s="104"/>
      <c r="AG154" s="104"/>
      <c r="AH154" s="104"/>
      <c r="AI154" s="104"/>
      <c r="AJ154" s="104"/>
      <c r="AK154" s="104"/>
      <c r="AL154" s="147"/>
    </row>
    <row r="155" spans="1:38">
      <c r="A155" s="146"/>
      <c r="B155" s="542">
        <v>98</v>
      </c>
      <c r="C155" s="1305"/>
      <c r="D155" s="1306"/>
      <c r="E155" s="568"/>
      <c r="F155" s="104"/>
      <c r="G155" s="104"/>
      <c r="H155" s="104"/>
      <c r="I155" s="104"/>
      <c r="J155" s="104"/>
      <c r="K155" s="104"/>
      <c r="L155" s="104"/>
      <c r="M155" s="104"/>
      <c r="N155" s="104"/>
      <c r="O155" s="104"/>
      <c r="P155" s="104"/>
      <c r="Q155" s="104"/>
      <c r="R155" s="104"/>
      <c r="S155" s="147"/>
      <c r="T155" s="146"/>
      <c r="U155" s="542">
        <v>98</v>
      </c>
      <c r="V155" s="1305"/>
      <c r="W155" s="1306"/>
      <c r="X155" s="568"/>
      <c r="Y155" s="104"/>
      <c r="Z155" s="104"/>
      <c r="AA155" s="104"/>
      <c r="AB155" s="104"/>
      <c r="AC155" s="104"/>
      <c r="AD155" s="104"/>
      <c r="AE155" s="104"/>
      <c r="AF155" s="104"/>
      <c r="AG155" s="104"/>
      <c r="AH155" s="104"/>
      <c r="AI155" s="104"/>
      <c r="AJ155" s="104"/>
      <c r="AK155" s="104"/>
      <c r="AL155" s="147"/>
    </row>
    <row r="156" spans="1:38">
      <c r="A156" s="146"/>
      <c r="B156" s="542">
        <v>99</v>
      </c>
      <c r="C156" s="1305"/>
      <c r="D156" s="1306"/>
      <c r="E156" s="568"/>
      <c r="F156" s="104"/>
      <c r="G156" s="104"/>
      <c r="H156" s="104"/>
      <c r="I156" s="104"/>
      <c r="J156" s="104"/>
      <c r="K156" s="104"/>
      <c r="L156" s="104"/>
      <c r="M156" s="104"/>
      <c r="N156" s="104"/>
      <c r="O156" s="104"/>
      <c r="P156" s="104"/>
      <c r="Q156" s="104"/>
      <c r="R156" s="104"/>
      <c r="S156" s="147"/>
      <c r="T156" s="146"/>
      <c r="U156" s="542">
        <v>99</v>
      </c>
      <c r="V156" s="1305"/>
      <c r="W156" s="1306"/>
      <c r="X156" s="568"/>
      <c r="Y156" s="104"/>
      <c r="Z156" s="104"/>
      <c r="AA156" s="104"/>
      <c r="AB156" s="104"/>
      <c r="AC156" s="104"/>
      <c r="AD156" s="104"/>
      <c r="AE156" s="104"/>
      <c r="AF156" s="104"/>
      <c r="AG156" s="104"/>
      <c r="AH156" s="104"/>
      <c r="AI156" s="104"/>
      <c r="AJ156" s="104"/>
      <c r="AK156" s="104"/>
      <c r="AL156" s="147"/>
    </row>
    <row r="157" spans="1:38">
      <c r="A157" s="146"/>
      <c r="B157" s="542">
        <v>100</v>
      </c>
      <c r="C157" s="1305"/>
      <c r="D157" s="1306"/>
      <c r="E157" s="568"/>
      <c r="F157" s="104"/>
      <c r="G157" s="104"/>
      <c r="H157" s="104"/>
      <c r="I157" s="104"/>
      <c r="J157" s="104"/>
      <c r="K157" s="104"/>
      <c r="L157" s="104"/>
      <c r="M157" s="104"/>
      <c r="N157" s="104"/>
      <c r="O157" s="104"/>
      <c r="P157" s="104"/>
      <c r="Q157" s="104"/>
      <c r="R157" s="104"/>
      <c r="S157" s="147"/>
      <c r="T157" s="146"/>
      <c r="U157" s="542">
        <v>100</v>
      </c>
      <c r="V157" s="1305"/>
      <c r="W157" s="1306"/>
      <c r="X157" s="568"/>
      <c r="Y157" s="104"/>
      <c r="Z157" s="104"/>
      <c r="AA157" s="104"/>
      <c r="AB157" s="104"/>
      <c r="AC157" s="104"/>
      <c r="AD157" s="104"/>
      <c r="AE157" s="104"/>
      <c r="AF157" s="104"/>
      <c r="AG157" s="104"/>
      <c r="AH157" s="104"/>
      <c r="AI157" s="104"/>
      <c r="AJ157" s="104"/>
      <c r="AK157" s="104"/>
      <c r="AL157" s="147"/>
    </row>
    <row r="158" spans="1:38">
      <c r="A158" s="146"/>
      <c r="B158" s="542">
        <v>101</v>
      </c>
      <c r="C158" s="1305"/>
      <c r="D158" s="1306"/>
      <c r="E158" s="568"/>
      <c r="F158" s="104"/>
      <c r="G158" s="104"/>
      <c r="H158" s="104"/>
      <c r="I158" s="104"/>
      <c r="J158" s="104"/>
      <c r="K158" s="104"/>
      <c r="L158" s="104"/>
      <c r="M158" s="104"/>
      <c r="N158" s="104"/>
      <c r="O158" s="104"/>
      <c r="P158" s="104"/>
      <c r="Q158" s="104"/>
      <c r="R158" s="104"/>
      <c r="S158" s="147"/>
      <c r="T158" s="146"/>
      <c r="U158" s="542">
        <v>101</v>
      </c>
      <c r="V158" s="1305"/>
      <c r="W158" s="1306"/>
      <c r="X158" s="568"/>
      <c r="Y158" s="104"/>
      <c r="Z158" s="104"/>
      <c r="AA158" s="104"/>
      <c r="AB158" s="104"/>
      <c r="AC158" s="104"/>
      <c r="AD158" s="104"/>
      <c r="AE158" s="104"/>
      <c r="AF158" s="104"/>
      <c r="AG158" s="104"/>
      <c r="AH158" s="104"/>
      <c r="AI158" s="104"/>
      <c r="AJ158" s="104"/>
      <c r="AK158" s="104"/>
      <c r="AL158" s="147"/>
    </row>
    <row r="159" spans="1:38">
      <c r="A159" s="146"/>
      <c r="B159" s="542">
        <v>102</v>
      </c>
      <c r="C159" s="1305"/>
      <c r="D159" s="1306"/>
      <c r="E159" s="568"/>
      <c r="F159" s="104"/>
      <c r="G159" s="104"/>
      <c r="H159" s="104"/>
      <c r="I159" s="104"/>
      <c r="J159" s="104"/>
      <c r="K159" s="104"/>
      <c r="L159" s="104"/>
      <c r="M159" s="104"/>
      <c r="N159" s="104"/>
      <c r="O159" s="104"/>
      <c r="P159" s="104"/>
      <c r="Q159" s="104"/>
      <c r="R159" s="104"/>
      <c r="S159" s="147"/>
      <c r="T159" s="146"/>
      <c r="U159" s="542">
        <v>102</v>
      </c>
      <c r="V159" s="1305"/>
      <c r="W159" s="1306"/>
      <c r="X159" s="568"/>
      <c r="Y159" s="104"/>
      <c r="Z159" s="104"/>
      <c r="AA159" s="104"/>
      <c r="AB159" s="104"/>
      <c r="AC159" s="104"/>
      <c r="AD159" s="104"/>
      <c r="AE159" s="104"/>
      <c r="AF159" s="104"/>
      <c r="AG159" s="104"/>
      <c r="AH159" s="104"/>
      <c r="AI159" s="104"/>
      <c r="AJ159" s="104"/>
      <c r="AK159" s="104"/>
      <c r="AL159" s="147"/>
    </row>
    <row r="160" spans="1:38">
      <c r="A160" s="146"/>
      <c r="B160" s="542">
        <v>103</v>
      </c>
      <c r="C160" s="1305"/>
      <c r="D160" s="1306"/>
      <c r="E160" s="568"/>
      <c r="F160" s="104"/>
      <c r="G160" s="104"/>
      <c r="H160" s="104"/>
      <c r="I160" s="104"/>
      <c r="J160" s="104"/>
      <c r="K160" s="104"/>
      <c r="L160" s="104"/>
      <c r="M160" s="104"/>
      <c r="N160" s="104"/>
      <c r="O160" s="104"/>
      <c r="P160" s="104"/>
      <c r="Q160" s="104"/>
      <c r="R160" s="104"/>
      <c r="S160" s="147"/>
      <c r="T160" s="146"/>
      <c r="U160" s="542">
        <v>103</v>
      </c>
      <c r="V160" s="1305"/>
      <c r="W160" s="1306"/>
      <c r="X160" s="568"/>
      <c r="Y160" s="104"/>
      <c r="Z160" s="104"/>
      <c r="AA160" s="104"/>
      <c r="AB160" s="104"/>
      <c r="AC160" s="104"/>
      <c r="AD160" s="104"/>
      <c r="AE160" s="104"/>
      <c r="AF160" s="104"/>
      <c r="AG160" s="104"/>
      <c r="AH160" s="104"/>
      <c r="AI160" s="104"/>
      <c r="AJ160" s="104"/>
      <c r="AK160" s="104"/>
      <c r="AL160" s="147"/>
    </row>
    <row r="161" spans="1:38">
      <c r="A161" s="146"/>
      <c r="B161" s="542">
        <v>104</v>
      </c>
      <c r="C161" s="1305"/>
      <c r="D161" s="1306"/>
      <c r="E161" s="568"/>
      <c r="F161" s="104"/>
      <c r="G161" s="104"/>
      <c r="H161" s="104"/>
      <c r="I161" s="104"/>
      <c r="J161" s="104"/>
      <c r="K161" s="104"/>
      <c r="L161" s="104"/>
      <c r="M161" s="104"/>
      <c r="N161" s="104"/>
      <c r="O161" s="104"/>
      <c r="P161" s="104"/>
      <c r="Q161" s="104"/>
      <c r="R161" s="104"/>
      <c r="S161" s="147"/>
      <c r="T161" s="146"/>
      <c r="U161" s="542">
        <v>104</v>
      </c>
      <c r="V161" s="1305"/>
      <c r="W161" s="1306"/>
      <c r="X161" s="568"/>
      <c r="Y161" s="104"/>
      <c r="Z161" s="104"/>
      <c r="AA161" s="104"/>
      <c r="AB161" s="104"/>
      <c r="AC161" s="104"/>
      <c r="AD161" s="104"/>
      <c r="AE161" s="104"/>
      <c r="AF161" s="104"/>
      <c r="AG161" s="104"/>
      <c r="AH161" s="104"/>
      <c r="AI161" s="104"/>
      <c r="AJ161" s="104"/>
      <c r="AK161" s="104"/>
      <c r="AL161" s="147"/>
    </row>
    <row r="162" spans="1:38">
      <c r="A162" s="146"/>
      <c r="B162" s="542">
        <v>105</v>
      </c>
      <c r="C162" s="1305"/>
      <c r="D162" s="1306"/>
      <c r="E162" s="568"/>
      <c r="F162" s="104"/>
      <c r="G162" s="104"/>
      <c r="H162" s="104"/>
      <c r="I162" s="104"/>
      <c r="J162" s="104"/>
      <c r="K162" s="104"/>
      <c r="L162" s="104"/>
      <c r="M162" s="104"/>
      <c r="N162" s="104"/>
      <c r="O162" s="104"/>
      <c r="P162" s="104"/>
      <c r="Q162" s="104"/>
      <c r="R162" s="104"/>
      <c r="S162" s="147"/>
      <c r="T162" s="146"/>
      <c r="U162" s="542">
        <v>105</v>
      </c>
      <c r="V162" s="1305"/>
      <c r="W162" s="1306"/>
      <c r="X162" s="568"/>
      <c r="Y162" s="104"/>
      <c r="Z162" s="104"/>
      <c r="AA162" s="104"/>
      <c r="AB162" s="104"/>
      <c r="AC162" s="104"/>
      <c r="AD162" s="104"/>
      <c r="AE162" s="104"/>
      <c r="AF162" s="104"/>
      <c r="AG162" s="104"/>
      <c r="AH162" s="104"/>
      <c r="AI162" s="104"/>
      <c r="AJ162" s="104"/>
      <c r="AK162" s="104"/>
      <c r="AL162" s="147"/>
    </row>
    <row r="163" spans="1:38">
      <c r="A163" s="146"/>
      <c r="B163" s="542">
        <v>106</v>
      </c>
      <c r="C163" s="1305"/>
      <c r="D163" s="1306"/>
      <c r="E163" s="568"/>
      <c r="F163" s="104"/>
      <c r="G163" s="104"/>
      <c r="H163" s="104"/>
      <c r="I163" s="104"/>
      <c r="J163" s="104"/>
      <c r="K163" s="104"/>
      <c r="L163" s="104"/>
      <c r="M163" s="104"/>
      <c r="N163" s="104"/>
      <c r="O163" s="104"/>
      <c r="P163" s="104"/>
      <c r="Q163" s="104"/>
      <c r="R163" s="104"/>
      <c r="S163" s="147"/>
      <c r="T163" s="146"/>
      <c r="U163" s="542">
        <v>106</v>
      </c>
      <c r="V163" s="1305"/>
      <c r="W163" s="1306"/>
      <c r="X163" s="568"/>
      <c r="Y163" s="104"/>
      <c r="Z163" s="104"/>
      <c r="AA163" s="104"/>
      <c r="AB163" s="104"/>
      <c r="AC163" s="104"/>
      <c r="AD163" s="104"/>
      <c r="AE163" s="104"/>
      <c r="AF163" s="104"/>
      <c r="AG163" s="104"/>
      <c r="AH163" s="104"/>
      <c r="AI163" s="104"/>
      <c r="AJ163" s="104"/>
      <c r="AK163" s="104"/>
      <c r="AL163" s="147"/>
    </row>
    <row r="164" spans="1:38">
      <c r="A164" s="146"/>
      <c r="B164" s="542">
        <v>107</v>
      </c>
      <c r="C164" s="1305"/>
      <c r="D164" s="1306"/>
      <c r="E164" s="568"/>
      <c r="F164" s="104"/>
      <c r="G164" s="104"/>
      <c r="H164" s="104"/>
      <c r="I164" s="104"/>
      <c r="J164" s="104"/>
      <c r="K164" s="104"/>
      <c r="L164" s="104"/>
      <c r="M164" s="104"/>
      <c r="N164" s="104"/>
      <c r="O164" s="104"/>
      <c r="P164" s="104"/>
      <c r="Q164" s="104"/>
      <c r="R164" s="104"/>
      <c r="S164" s="147"/>
      <c r="T164" s="146"/>
      <c r="U164" s="542">
        <v>107</v>
      </c>
      <c r="V164" s="1305"/>
      <c r="W164" s="1306"/>
      <c r="X164" s="568"/>
      <c r="Y164" s="104"/>
      <c r="Z164" s="104"/>
      <c r="AA164" s="104"/>
      <c r="AB164" s="104"/>
      <c r="AC164" s="104"/>
      <c r="AD164" s="104"/>
      <c r="AE164" s="104"/>
      <c r="AF164" s="104"/>
      <c r="AG164" s="104"/>
      <c r="AH164" s="104"/>
      <c r="AI164" s="104"/>
      <c r="AJ164" s="104"/>
      <c r="AK164" s="104"/>
      <c r="AL164" s="147"/>
    </row>
    <row r="165" spans="1:38">
      <c r="A165" s="146"/>
      <c r="B165" s="542">
        <v>108</v>
      </c>
      <c r="C165" s="1305"/>
      <c r="D165" s="1306"/>
      <c r="E165" s="568"/>
      <c r="F165" s="104"/>
      <c r="G165" s="104"/>
      <c r="H165" s="104"/>
      <c r="I165" s="104"/>
      <c r="J165" s="104"/>
      <c r="K165" s="104"/>
      <c r="L165" s="104"/>
      <c r="M165" s="104"/>
      <c r="N165" s="104"/>
      <c r="O165" s="104"/>
      <c r="P165" s="104"/>
      <c r="Q165" s="104"/>
      <c r="R165" s="104"/>
      <c r="S165" s="147"/>
      <c r="T165" s="146"/>
      <c r="U165" s="542">
        <v>108</v>
      </c>
      <c r="V165" s="1305"/>
      <c r="W165" s="1306"/>
      <c r="X165" s="568"/>
      <c r="Y165" s="104"/>
      <c r="Z165" s="104"/>
      <c r="AA165" s="104"/>
      <c r="AB165" s="104"/>
      <c r="AC165" s="104"/>
      <c r="AD165" s="104"/>
      <c r="AE165" s="104"/>
      <c r="AF165" s="104"/>
      <c r="AG165" s="104"/>
      <c r="AH165" s="104"/>
      <c r="AI165" s="104"/>
      <c r="AJ165" s="104"/>
      <c r="AK165" s="104"/>
      <c r="AL165" s="147"/>
    </row>
    <row r="166" spans="1:38">
      <c r="A166" s="146"/>
      <c r="B166" s="542">
        <v>109</v>
      </c>
      <c r="C166" s="1305"/>
      <c r="D166" s="1306"/>
      <c r="E166" s="568"/>
      <c r="F166" s="104"/>
      <c r="G166" s="104"/>
      <c r="H166" s="104"/>
      <c r="I166" s="104"/>
      <c r="J166" s="104"/>
      <c r="K166" s="104"/>
      <c r="L166" s="104"/>
      <c r="M166" s="104"/>
      <c r="N166" s="104"/>
      <c r="O166" s="104"/>
      <c r="P166" s="104"/>
      <c r="Q166" s="104"/>
      <c r="R166" s="104"/>
      <c r="S166" s="147"/>
      <c r="T166" s="146"/>
      <c r="U166" s="542">
        <v>109</v>
      </c>
      <c r="V166" s="1305"/>
      <c r="W166" s="1306"/>
      <c r="X166" s="568"/>
      <c r="Y166" s="104"/>
      <c r="Z166" s="104"/>
      <c r="AA166" s="104"/>
      <c r="AB166" s="104"/>
      <c r="AC166" s="104"/>
      <c r="AD166" s="104"/>
      <c r="AE166" s="104"/>
      <c r="AF166" s="104"/>
      <c r="AG166" s="104"/>
      <c r="AH166" s="104"/>
      <c r="AI166" s="104"/>
      <c r="AJ166" s="104"/>
      <c r="AK166" s="104"/>
      <c r="AL166" s="147"/>
    </row>
    <row r="167" spans="1:38">
      <c r="A167" s="146"/>
      <c r="B167" s="542">
        <v>110</v>
      </c>
      <c r="C167" s="1305"/>
      <c r="D167" s="1306"/>
      <c r="E167" s="568"/>
      <c r="F167" s="104"/>
      <c r="G167" s="104"/>
      <c r="H167" s="104"/>
      <c r="I167" s="104"/>
      <c r="J167" s="104"/>
      <c r="K167" s="104"/>
      <c r="L167" s="104"/>
      <c r="M167" s="104"/>
      <c r="N167" s="104"/>
      <c r="O167" s="104"/>
      <c r="P167" s="104"/>
      <c r="Q167" s="104"/>
      <c r="R167" s="104"/>
      <c r="S167" s="147"/>
      <c r="T167" s="146"/>
      <c r="U167" s="542">
        <v>110</v>
      </c>
      <c r="V167" s="1305"/>
      <c r="W167" s="1306"/>
      <c r="X167" s="568"/>
      <c r="Y167" s="104"/>
      <c r="Z167" s="104"/>
      <c r="AA167" s="104"/>
      <c r="AB167" s="104"/>
      <c r="AC167" s="104"/>
      <c r="AD167" s="104"/>
      <c r="AE167" s="104"/>
      <c r="AF167" s="104"/>
      <c r="AG167" s="104"/>
      <c r="AH167" s="104"/>
      <c r="AI167" s="104"/>
      <c r="AJ167" s="104"/>
      <c r="AK167" s="104"/>
      <c r="AL167" s="147"/>
    </row>
    <row r="168" spans="1:38">
      <c r="A168" s="146"/>
      <c r="B168" s="542">
        <v>111</v>
      </c>
      <c r="C168" s="1305"/>
      <c r="D168" s="1306"/>
      <c r="E168" s="568"/>
      <c r="F168" s="104"/>
      <c r="G168" s="104"/>
      <c r="H168" s="104"/>
      <c r="I168" s="104"/>
      <c r="J168" s="104"/>
      <c r="K168" s="104"/>
      <c r="L168" s="104"/>
      <c r="M168" s="104"/>
      <c r="N168" s="104"/>
      <c r="O168" s="104"/>
      <c r="P168" s="104"/>
      <c r="Q168" s="104"/>
      <c r="R168" s="104"/>
      <c r="S168" s="147"/>
      <c r="T168" s="146"/>
      <c r="U168" s="542">
        <v>111</v>
      </c>
      <c r="V168" s="1305"/>
      <c r="W168" s="1306"/>
      <c r="X168" s="568"/>
      <c r="Y168" s="104"/>
      <c r="Z168" s="104"/>
      <c r="AA168" s="104"/>
      <c r="AB168" s="104"/>
      <c r="AC168" s="104"/>
      <c r="AD168" s="104"/>
      <c r="AE168" s="104"/>
      <c r="AF168" s="104"/>
      <c r="AG168" s="104"/>
      <c r="AH168" s="104"/>
      <c r="AI168" s="104"/>
      <c r="AJ168" s="104"/>
      <c r="AK168" s="104"/>
      <c r="AL168" s="147"/>
    </row>
    <row r="169" spans="1:38">
      <c r="A169" s="146"/>
      <c r="B169" s="542">
        <v>112</v>
      </c>
      <c r="C169" s="1305"/>
      <c r="D169" s="1306"/>
      <c r="E169" s="568"/>
      <c r="F169" s="104"/>
      <c r="G169" s="104"/>
      <c r="H169" s="104"/>
      <c r="I169" s="104"/>
      <c r="J169" s="104"/>
      <c r="K169" s="104"/>
      <c r="L169" s="104"/>
      <c r="M169" s="104"/>
      <c r="N169" s="104"/>
      <c r="O169" s="104"/>
      <c r="P169" s="104"/>
      <c r="Q169" s="104"/>
      <c r="R169" s="104"/>
      <c r="S169" s="147"/>
      <c r="T169" s="146"/>
      <c r="U169" s="542">
        <v>112</v>
      </c>
      <c r="V169" s="1305"/>
      <c r="W169" s="1306"/>
      <c r="X169" s="568"/>
      <c r="Y169" s="104"/>
      <c r="Z169" s="104"/>
      <c r="AA169" s="104"/>
      <c r="AB169" s="104"/>
      <c r="AC169" s="104"/>
      <c r="AD169" s="104"/>
      <c r="AE169" s="104"/>
      <c r="AF169" s="104"/>
      <c r="AG169" s="104"/>
      <c r="AH169" s="104"/>
      <c r="AI169" s="104"/>
      <c r="AJ169" s="104"/>
      <c r="AK169" s="104"/>
      <c r="AL169" s="147"/>
    </row>
    <row r="170" spans="1:38">
      <c r="A170" s="146"/>
      <c r="B170" s="542">
        <v>113</v>
      </c>
      <c r="C170" s="1305"/>
      <c r="D170" s="1306"/>
      <c r="E170" s="568"/>
      <c r="F170" s="104"/>
      <c r="G170" s="104"/>
      <c r="H170" s="104"/>
      <c r="I170" s="104"/>
      <c r="J170" s="104"/>
      <c r="K170" s="104"/>
      <c r="L170" s="104"/>
      <c r="M170" s="104"/>
      <c r="N170" s="104"/>
      <c r="O170" s="104"/>
      <c r="P170" s="104"/>
      <c r="Q170" s="104"/>
      <c r="R170" s="104"/>
      <c r="S170" s="147"/>
      <c r="T170" s="146"/>
      <c r="U170" s="542">
        <v>113</v>
      </c>
      <c r="V170" s="1305"/>
      <c r="W170" s="1306"/>
      <c r="X170" s="568"/>
      <c r="Y170" s="104"/>
      <c r="Z170" s="104"/>
      <c r="AA170" s="104"/>
      <c r="AB170" s="104"/>
      <c r="AC170" s="104"/>
      <c r="AD170" s="104"/>
      <c r="AE170" s="104"/>
      <c r="AF170" s="104"/>
      <c r="AG170" s="104"/>
      <c r="AH170" s="104"/>
      <c r="AI170" s="104"/>
      <c r="AJ170" s="104"/>
      <c r="AK170" s="104"/>
      <c r="AL170" s="147"/>
    </row>
    <row r="171" spans="1:38">
      <c r="A171" s="146"/>
      <c r="B171" s="542">
        <v>114</v>
      </c>
      <c r="C171" s="1305"/>
      <c r="D171" s="1306"/>
      <c r="E171" s="568"/>
      <c r="F171" s="104"/>
      <c r="G171" s="104"/>
      <c r="H171" s="104"/>
      <c r="I171" s="104"/>
      <c r="J171" s="104"/>
      <c r="K171" s="104"/>
      <c r="L171" s="104"/>
      <c r="M171" s="104"/>
      <c r="N171" s="104"/>
      <c r="O171" s="104"/>
      <c r="P171" s="104"/>
      <c r="Q171" s="104"/>
      <c r="R171" s="104"/>
      <c r="S171" s="147"/>
      <c r="T171" s="146"/>
      <c r="U171" s="542">
        <v>114</v>
      </c>
      <c r="V171" s="1305"/>
      <c r="W171" s="1306"/>
      <c r="X171" s="568"/>
      <c r="Y171" s="104"/>
      <c r="Z171" s="104"/>
      <c r="AA171" s="104"/>
      <c r="AB171" s="104"/>
      <c r="AC171" s="104"/>
      <c r="AD171" s="104"/>
      <c r="AE171" s="104"/>
      <c r="AF171" s="104"/>
      <c r="AG171" s="104"/>
      <c r="AH171" s="104"/>
      <c r="AI171" s="104"/>
      <c r="AJ171" s="104"/>
      <c r="AK171" s="104"/>
      <c r="AL171" s="147"/>
    </row>
    <row r="172" spans="1:38">
      <c r="A172" s="146"/>
      <c r="B172" s="542">
        <v>115</v>
      </c>
      <c r="C172" s="1305"/>
      <c r="D172" s="1306"/>
      <c r="E172" s="568"/>
      <c r="F172" s="104"/>
      <c r="G172" s="104"/>
      <c r="H172" s="104"/>
      <c r="I172" s="104"/>
      <c r="J172" s="104"/>
      <c r="K172" s="104"/>
      <c r="L172" s="104"/>
      <c r="M172" s="104"/>
      <c r="N172" s="104"/>
      <c r="O172" s="104"/>
      <c r="P172" s="104"/>
      <c r="Q172" s="104"/>
      <c r="R172" s="104"/>
      <c r="S172" s="147"/>
      <c r="T172" s="146"/>
      <c r="U172" s="542">
        <v>115</v>
      </c>
      <c r="V172" s="1305"/>
      <c r="W172" s="1306"/>
      <c r="X172" s="568"/>
      <c r="Y172" s="104"/>
      <c r="Z172" s="104"/>
      <c r="AA172" s="104"/>
      <c r="AB172" s="104"/>
      <c r="AC172" s="104"/>
      <c r="AD172" s="104"/>
      <c r="AE172" s="104"/>
      <c r="AF172" s="104"/>
      <c r="AG172" s="104"/>
      <c r="AH172" s="104"/>
      <c r="AI172" s="104"/>
      <c r="AJ172" s="104"/>
      <c r="AK172" s="104"/>
      <c r="AL172" s="147"/>
    </row>
    <row r="173" spans="1:38">
      <c r="A173" s="146"/>
      <c r="B173" s="542">
        <v>116</v>
      </c>
      <c r="C173" s="1305"/>
      <c r="D173" s="1306"/>
      <c r="E173" s="568"/>
      <c r="F173" s="104"/>
      <c r="G173" s="104"/>
      <c r="H173" s="104"/>
      <c r="I173" s="104"/>
      <c r="J173" s="104"/>
      <c r="K173" s="104"/>
      <c r="L173" s="104"/>
      <c r="M173" s="104"/>
      <c r="N173" s="104"/>
      <c r="O173" s="104"/>
      <c r="P173" s="104"/>
      <c r="Q173" s="104"/>
      <c r="R173" s="104"/>
      <c r="S173" s="147"/>
      <c r="T173" s="146"/>
      <c r="U173" s="542">
        <v>116</v>
      </c>
      <c r="V173" s="1305"/>
      <c r="W173" s="1306"/>
      <c r="X173" s="568"/>
      <c r="Y173" s="104"/>
      <c r="Z173" s="104"/>
      <c r="AA173" s="104"/>
      <c r="AB173" s="104"/>
      <c r="AC173" s="104"/>
      <c r="AD173" s="104"/>
      <c r="AE173" s="104"/>
      <c r="AF173" s="104"/>
      <c r="AG173" s="104"/>
      <c r="AH173" s="104"/>
      <c r="AI173" s="104"/>
      <c r="AJ173" s="104"/>
      <c r="AK173" s="104"/>
      <c r="AL173" s="147"/>
    </row>
    <row r="174" spans="1:38">
      <c r="A174" s="146"/>
      <c r="B174" s="542">
        <v>117</v>
      </c>
      <c r="C174" s="1305"/>
      <c r="D174" s="1306"/>
      <c r="E174" s="568"/>
      <c r="F174" s="104"/>
      <c r="G174" s="104"/>
      <c r="H174" s="104"/>
      <c r="I174" s="104"/>
      <c r="J174" s="104"/>
      <c r="K174" s="104"/>
      <c r="L174" s="104"/>
      <c r="M174" s="104"/>
      <c r="N174" s="104"/>
      <c r="O174" s="104"/>
      <c r="P174" s="104"/>
      <c r="Q174" s="104"/>
      <c r="R174" s="104"/>
      <c r="S174" s="147"/>
      <c r="T174" s="146"/>
      <c r="U174" s="542">
        <v>117</v>
      </c>
      <c r="V174" s="1305"/>
      <c r="W174" s="1306"/>
      <c r="X174" s="568"/>
      <c r="Y174" s="104"/>
      <c r="Z174" s="104"/>
      <c r="AA174" s="104"/>
      <c r="AB174" s="104"/>
      <c r="AC174" s="104"/>
      <c r="AD174" s="104"/>
      <c r="AE174" s="104"/>
      <c r="AF174" s="104"/>
      <c r="AG174" s="104"/>
      <c r="AH174" s="104"/>
      <c r="AI174" s="104"/>
      <c r="AJ174" s="104"/>
      <c r="AK174" s="104"/>
      <c r="AL174" s="147"/>
    </row>
    <row r="175" spans="1:38">
      <c r="A175" s="146"/>
      <c r="B175" s="542">
        <v>118</v>
      </c>
      <c r="C175" s="1305"/>
      <c r="D175" s="1306"/>
      <c r="E175" s="568"/>
      <c r="F175" s="104"/>
      <c r="G175" s="104"/>
      <c r="H175" s="104"/>
      <c r="I175" s="104"/>
      <c r="J175" s="104"/>
      <c r="K175" s="104"/>
      <c r="L175" s="104"/>
      <c r="M175" s="104"/>
      <c r="N175" s="104"/>
      <c r="O175" s="104"/>
      <c r="P175" s="104"/>
      <c r="Q175" s="104"/>
      <c r="R175" s="104"/>
      <c r="S175" s="147"/>
      <c r="T175" s="146"/>
      <c r="U175" s="542">
        <v>118</v>
      </c>
      <c r="V175" s="1305"/>
      <c r="W175" s="1306"/>
      <c r="X175" s="568"/>
      <c r="Y175" s="104"/>
      <c r="Z175" s="104"/>
      <c r="AA175" s="104"/>
      <c r="AB175" s="104"/>
      <c r="AC175" s="104"/>
      <c r="AD175" s="104"/>
      <c r="AE175" s="104"/>
      <c r="AF175" s="104"/>
      <c r="AG175" s="104"/>
      <c r="AH175" s="104"/>
      <c r="AI175" s="104"/>
      <c r="AJ175" s="104"/>
      <c r="AK175" s="104"/>
      <c r="AL175" s="147"/>
    </row>
    <row r="176" spans="1:38">
      <c r="A176" s="146"/>
      <c r="B176" s="542">
        <v>119</v>
      </c>
      <c r="C176" s="1305"/>
      <c r="D176" s="1306"/>
      <c r="E176" s="568"/>
      <c r="F176" s="104"/>
      <c r="G176" s="104"/>
      <c r="H176" s="104"/>
      <c r="I176" s="104"/>
      <c r="J176" s="104"/>
      <c r="K176" s="104"/>
      <c r="L176" s="104"/>
      <c r="M176" s="104"/>
      <c r="N176" s="104"/>
      <c r="O176" s="104"/>
      <c r="P176" s="104"/>
      <c r="Q176" s="104"/>
      <c r="R176" s="104"/>
      <c r="S176" s="147"/>
      <c r="T176" s="146"/>
      <c r="U176" s="542">
        <v>119</v>
      </c>
      <c r="V176" s="1305"/>
      <c r="W176" s="1306"/>
      <c r="X176" s="568"/>
      <c r="Y176" s="104"/>
      <c r="Z176" s="104"/>
      <c r="AA176" s="104"/>
      <c r="AB176" s="104"/>
      <c r="AC176" s="104"/>
      <c r="AD176" s="104"/>
      <c r="AE176" s="104"/>
      <c r="AF176" s="104"/>
      <c r="AG176" s="104"/>
      <c r="AH176" s="104"/>
      <c r="AI176" s="104"/>
      <c r="AJ176" s="104"/>
      <c r="AK176" s="104"/>
      <c r="AL176" s="147"/>
    </row>
    <row r="177" spans="1:38">
      <c r="A177" s="146"/>
      <c r="B177" s="542">
        <v>120</v>
      </c>
      <c r="C177" s="1305"/>
      <c r="D177" s="1306"/>
      <c r="E177" s="568"/>
      <c r="F177" s="104"/>
      <c r="G177" s="104"/>
      <c r="H177" s="104"/>
      <c r="I177" s="104"/>
      <c r="J177" s="104"/>
      <c r="K177" s="104"/>
      <c r="L177" s="104"/>
      <c r="M177" s="104"/>
      <c r="N177" s="104"/>
      <c r="O177" s="104"/>
      <c r="P177" s="104"/>
      <c r="Q177" s="104"/>
      <c r="R177" s="104"/>
      <c r="S177" s="147"/>
      <c r="T177" s="146"/>
      <c r="U177" s="542">
        <v>120</v>
      </c>
      <c r="V177" s="1305"/>
      <c r="W177" s="1306"/>
      <c r="X177" s="568"/>
      <c r="Y177" s="104"/>
      <c r="Z177" s="104"/>
      <c r="AA177" s="104"/>
      <c r="AB177" s="104"/>
      <c r="AC177" s="104"/>
      <c r="AD177" s="104"/>
      <c r="AE177" s="104"/>
      <c r="AF177" s="104"/>
      <c r="AG177" s="104"/>
      <c r="AH177" s="104"/>
      <c r="AI177" s="104"/>
      <c r="AJ177" s="104"/>
      <c r="AK177" s="104"/>
      <c r="AL177" s="147"/>
    </row>
    <row r="178" spans="1:38">
      <c r="A178" s="104"/>
      <c r="B178" s="542">
        <v>121</v>
      </c>
      <c r="C178" s="1305"/>
      <c r="D178" s="1306"/>
      <c r="E178" s="568"/>
      <c r="F178" s="104"/>
      <c r="G178" s="104"/>
      <c r="H178" s="104"/>
      <c r="I178" s="104"/>
      <c r="J178" s="104"/>
      <c r="K178" s="104"/>
      <c r="L178" s="104"/>
      <c r="M178" s="104"/>
      <c r="N178" s="104"/>
      <c r="O178" s="104"/>
      <c r="P178" s="104"/>
      <c r="Q178" s="104"/>
      <c r="R178" s="104"/>
      <c r="S178" s="147"/>
      <c r="T178" s="104"/>
      <c r="U178" s="542">
        <v>121</v>
      </c>
      <c r="V178" s="1305"/>
      <c r="W178" s="1306"/>
      <c r="X178" s="568"/>
      <c r="Y178" s="104"/>
      <c r="Z178" s="104"/>
      <c r="AA178" s="104"/>
      <c r="AB178" s="104"/>
      <c r="AC178" s="104"/>
      <c r="AD178" s="104"/>
      <c r="AE178" s="104"/>
      <c r="AF178" s="104"/>
      <c r="AG178" s="104"/>
      <c r="AH178" s="104"/>
      <c r="AI178" s="104"/>
      <c r="AJ178" s="104"/>
      <c r="AK178" s="104"/>
      <c r="AL178" s="147"/>
    </row>
    <row r="179" spans="1:38">
      <c r="B179" s="542">
        <v>122</v>
      </c>
      <c r="C179" s="1305"/>
      <c r="D179" s="1306"/>
      <c r="E179" s="568"/>
      <c r="S179" s="15"/>
      <c r="U179" s="542">
        <v>122</v>
      </c>
      <c r="V179" s="1305"/>
      <c r="W179" s="1306"/>
      <c r="X179" s="568"/>
      <c r="AL179" s="15"/>
    </row>
    <row r="180" spans="1:38">
      <c r="B180" s="542">
        <v>123</v>
      </c>
      <c r="C180" s="1305"/>
      <c r="D180" s="1306"/>
      <c r="E180" s="568"/>
      <c r="S180" s="15"/>
      <c r="U180" s="542">
        <v>123</v>
      </c>
      <c r="V180" s="1305"/>
      <c r="W180" s="1306"/>
      <c r="X180" s="568"/>
      <c r="AL180" s="15"/>
    </row>
    <row r="181" spans="1:38">
      <c r="B181" s="542">
        <v>124</v>
      </c>
      <c r="C181" s="1305"/>
      <c r="D181" s="1306"/>
      <c r="E181" s="568"/>
      <c r="S181" s="15"/>
      <c r="U181" s="542">
        <v>124</v>
      </c>
      <c r="V181" s="1305"/>
      <c r="W181" s="1306"/>
      <c r="X181" s="568"/>
      <c r="AL181" s="15"/>
    </row>
    <row r="182" spans="1:38">
      <c r="B182" s="542">
        <v>125</v>
      </c>
      <c r="C182" s="1305"/>
      <c r="D182" s="1306"/>
      <c r="E182" s="568"/>
      <c r="S182" s="15"/>
      <c r="U182" s="542">
        <v>125</v>
      </c>
      <c r="V182" s="1305"/>
      <c r="W182" s="1306"/>
      <c r="X182" s="568"/>
      <c r="AL182" s="15"/>
    </row>
    <row r="183" spans="1:38">
      <c r="B183" s="542">
        <v>126</v>
      </c>
      <c r="C183" s="1305"/>
      <c r="D183" s="1306"/>
      <c r="E183" s="568"/>
      <c r="S183" s="15"/>
      <c r="U183" s="542">
        <v>126</v>
      </c>
      <c r="V183" s="1305"/>
      <c r="W183" s="1306"/>
      <c r="X183" s="568"/>
      <c r="AL183" s="15"/>
    </row>
    <row r="184" spans="1:38">
      <c r="B184" s="542">
        <v>127</v>
      </c>
      <c r="C184" s="1305"/>
      <c r="D184" s="1306"/>
      <c r="E184" s="568"/>
      <c r="S184" s="15"/>
      <c r="U184" s="542">
        <v>127</v>
      </c>
      <c r="V184" s="1305"/>
      <c r="W184" s="1306"/>
      <c r="X184" s="568"/>
      <c r="AL184" s="15"/>
    </row>
    <row r="185" spans="1:38">
      <c r="B185" s="542">
        <v>128</v>
      </c>
      <c r="C185" s="1305"/>
      <c r="D185" s="1306"/>
      <c r="E185" s="568"/>
      <c r="S185" s="15"/>
      <c r="U185" s="542">
        <v>128</v>
      </c>
      <c r="V185" s="1305"/>
      <c r="W185" s="1306"/>
      <c r="X185" s="568"/>
      <c r="AL185" s="15"/>
    </row>
    <row r="186" spans="1:38">
      <c r="B186" s="542">
        <v>129</v>
      </c>
      <c r="C186" s="1305"/>
      <c r="D186" s="1306"/>
      <c r="E186" s="568"/>
      <c r="S186" s="15"/>
      <c r="U186" s="542">
        <v>129</v>
      </c>
      <c r="V186" s="1305"/>
      <c r="W186" s="1306"/>
      <c r="X186" s="568"/>
      <c r="AL186" s="15"/>
    </row>
    <row r="187" spans="1:38">
      <c r="B187" s="542">
        <v>130</v>
      </c>
      <c r="C187" s="1305"/>
      <c r="D187" s="1306"/>
      <c r="E187" s="568"/>
      <c r="S187" s="15"/>
      <c r="U187" s="542">
        <v>130</v>
      </c>
      <c r="V187" s="1305"/>
      <c r="W187" s="1306"/>
      <c r="X187" s="568"/>
      <c r="AL187" s="15"/>
    </row>
    <row r="188" spans="1:38">
      <c r="B188" s="542">
        <v>131</v>
      </c>
      <c r="C188" s="1305"/>
      <c r="D188" s="1306"/>
      <c r="E188" s="568"/>
      <c r="S188" s="15"/>
      <c r="U188" s="542">
        <v>131</v>
      </c>
      <c r="V188" s="1305"/>
      <c r="W188" s="1306"/>
      <c r="X188" s="568"/>
      <c r="AL188" s="15"/>
    </row>
    <row r="189" spans="1:38">
      <c r="B189" s="542">
        <v>132</v>
      </c>
      <c r="C189" s="1305"/>
      <c r="D189" s="1306"/>
      <c r="E189" s="568"/>
      <c r="S189" s="15"/>
      <c r="U189" s="542">
        <v>132</v>
      </c>
      <c r="V189" s="1305"/>
      <c r="W189" s="1306"/>
      <c r="X189" s="568"/>
      <c r="AL189" s="15"/>
    </row>
    <row r="190" spans="1:38">
      <c r="B190" s="542">
        <v>133</v>
      </c>
      <c r="C190" s="1305"/>
      <c r="D190" s="1306"/>
      <c r="E190" s="568"/>
      <c r="S190" s="15"/>
      <c r="U190" s="542">
        <v>133</v>
      </c>
      <c r="V190" s="1305"/>
      <c r="W190" s="1306"/>
      <c r="X190" s="568"/>
      <c r="AL190" s="15"/>
    </row>
    <row r="191" spans="1:38">
      <c r="B191" s="542">
        <v>134</v>
      </c>
      <c r="C191" s="1305"/>
      <c r="D191" s="1306"/>
      <c r="E191" s="568"/>
      <c r="S191" s="15"/>
      <c r="U191" s="542">
        <v>134</v>
      </c>
      <c r="V191" s="1305"/>
      <c r="W191" s="1306"/>
      <c r="X191" s="568"/>
      <c r="AL191" s="15"/>
    </row>
    <row r="192" spans="1:38">
      <c r="B192" s="542">
        <v>135</v>
      </c>
      <c r="C192" s="1305"/>
      <c r="D192" s="1306"/>
      <c r="E192" s="568"/>
      <c r="S192" s="15"/>
      <c r="U192" s="542">
        <v>135</v>
      </c>
      <c r="V192" s="1305"/>
      <c r="W192" s="1306"/>
      <c r="X192" s="568"/>
      <c r="AL192" s="15"/>
    </row>
    <row r="193" spans="2:38">
      <c r="B193" s="542">
        <v>136</v>
      </c>
      <c r="C193" s="1305"/>
      <c r="D193" s="1306"/>
      <c r="E193" s="568"/>
      <c r="S193" s="15"/>
      <c r="U193" s="542">
        <v>136</v>
      </c>
      <c r="V193" s="1305"/>
      <c r="W193" s="1306"/>
      <c r="X193" s="568"/>
      <c r="AL193" s="15"/>
    </row>
    <row r="194" spans="2:38">
      <c r="B194" s="542">
        <v>137</v>
      </c>
      <c r="C194" s="1305"/>
      <c r="D194" s="1306"/>
      <c r="E194" s="568"/>
      <c r="S194" s="15"/>
      <c r="U194" s="542">
        <v>137</v>
      </c>
      <c r="V194" s="1305"/>
      <c r="W194" s="1306"/>
      <c r="X194" s="568"/>
      <c r="AL194" s="15"/>
    </row>
    <row r="195" spans="2:38">
      <c r="B195" s="542">
        <v>138</v>
      </c>
      <c r="C195" s="1305"/>
      <c r="D195" s="1306"/>
      <c r="E195" s="568"/>
      <c r="S195" s="15"/>
      <c r="U195" s="542">
        <v>138</v>
      </c>
      <c r="V195" s="1305"/>
      <c r="W195" s="1306"/>
      <c r="X195" s="568"/>
      <c r="AL195" s="15"/>
    </row>
    <row r="196" spans="2:38">
      <c r="B196" s="542">
        <v>139</v>
      </c>
      <c r="C196" s="1305"/>
      <c r="D196" s="1306"/>
      <c r="E196" s="568"/>
      <c r="S196" s="15"/>
      <c r="U196" s="542">
        <v>139</v>
      </c>
      <c r="V196" s="1305"/>
      <c r="W196" s="1306"/>
      <c r="X196" s="568"/>
      <c r="AL196" s="15"/>
    </row>
    <row r="197" spans="2:38">
      <c r="B197" s="542">
        <v>140</v>
      </c>
      <c r="C197" s="1305"/>
      <c r="D197" s="1306"/>
      <c r="E197" s="568"/>
      <c r="S197" s="15"/>
      <c r="U197" s="542">
        <v>140</v>
      </c>
      <c r="V197" s="1305"/>
      <c r="W197" s="1306"/>
      <c r="X197" s="568"/>
      <c r="AL197" s="15"/>
    </row>
    <row r="198" spans="2:38">
      <c r="B198" s="542">
        <v>141</v>
      </c>
      <c r="C198" s="1305"/>
      <c r="D198" s="1306"/>
      <c r="E198" s="568"/>
      <c r="S198" s="15"/>
      <c r="U198" s="542">
        <v>141</v>
      </c>
      <c r="V198" s="1305"/>
      <c r="W198" s="1306"/>
      <c r="X198" s="568"/>
      <c r="AL198" s="15"/>
    </row>
    <row r="199" spans="2:38">
      <c r="B199" s="542">
        <v>142</v>
      </c>
      <c r="C199" s="1305"/>
      <c r="D199" s="1306"/>
      <c r="E199" s="568"/>
      <c r="S199" s="15"/>
      <c r="U199" s="542">
        <v>142</v>
      </c>
      <c r="V199" s="1305"/>
      <c r="W199" s="1306"/>
      <c r="X199" s="568"/>
      <c r="AL199" s="15"/>
    </row>
    <row r="200" spans="2:38">
      <c r="B200" s="542">
        <v>143</v>
      </c>
      <c r="C200" s="1305"/>
      <c r="D200" s="1306"/>
      <c r="E200" s="568"/>
      <c r="S200" s="15"/>
      <c r="U200" s="542">
        <v>143</v>
      </c>
      <c r="V200" s="1305"/>
      <c r="W200" s="1306"/>
      <c r="X200" s="568"/>
      <c r="AL200" s="15"/>
    </row>
    <row r="201" spans="2:38">
      <c r="B201" s="542">
        <v>144</v>
      </c>
      <c r="C201" s="1305"/>
      <c r="D201" s="1306"/>
      <c r="E201" s="568"/>
      <c r="S201" s="15"/>
      <c r="U201" s="542">
        <v>144</v>
      </c>
      <c r="V201" s="1305"/>
      <c r="W201" s="1306"/>
      <c r="X201" s="568"/>
      <c r="AL201" s="15"/>
    </row>
    <row r="202" spans="2:38">
      <c r="B202" s="542">
        <v>145</v>
      </c>
      <c r="C202" s="1305"/>
      <c r="D202" s="1306"/>
      <c r="E202" s="568"/>
      <c r="S202" s="15"/>
      <c r="U202" s="542">
        <v>145</v>
      </c>
      <c r="V202" s="1305"/>
      <c r="W202" s="1306"/>
      <c r="X202" s="568"/>
      <c r="AL202" s="15"/>
    </row>
    <row r="203" spans="2:38">
      <c r="B203" s="542">
        <v>146</v>
      </c>
      <c r="C203" s="1305"/>
      <c r="D203" s="1306"/>
      <c r="E203" s="568"/>
      <c r="S203" s="15"/>
      <c r="U203" s="542">
        <v>146</v>
      </c>
      <c r="V203" s="1305"/>
      <c r="W203" s="1306"/>
      <c r="X203" s="568"/>
      <c r="AL203" s="15"/>
    </row>
    <row r="204" spans="2:38">
      <c r="B204" s="542">
        <v>147</v>
      </c>
      <c r="C204" s="1305"/>
      <c r="D204" s="1306"/>
      <c r="E204" s="568"/>
      <c r="S204" s="15"/>
      <c r="U204" s="542">
        <v>147</v>
      </c>
      <c r="V204" s="1305"/>
      <c r="W204" s="1306"/>
      <c r="X204" s="568"/>
      <c r="AL204" s="15"/>
    </row>
    <row r="205" spans="2:38">
      <c r="B205" s="542">
        <v>148</v>
      </c>
      <c r="C205" s="1305"/>
      <c r="D205" s="1306"/>
      <c r="E205" s="568"/>
      <c r="S205" s="15"/>
      <c r="U205" s="542">
        <v>148</v>
      </c>
      <c r="V205" s="1305"/>
      <c r="W205" s="1306"/>
      <c r="X205" s="568"/>
      <c r="AL205" s="15"/>
    </row>
    <row r="206" spans="2:38">
      <c r="B206" s="542">
        <v>149</v>
      </c>
      <c r="C206" s="1305"/>
      <c r="D206" s="1306"/>
      <c r="E206" s="568"/>
      <c r="S206" s="15"/>
      <c r="U206" s="542">
        <v>149</v>
      </c>
      <c r="V206" s="1305"/>
      <c r="W206" s="1306"/>
      <c r="X206" s="568"/>
      <c r="AL206" s="15"/>
    </row>
    <row r="207" spans="2:38">
      <c r="B207" s="542">
        <v>150</v>
      </c>
      <c r="C207" s="1305"/>
      <c r="D207" s="1306"/>
      <c r="E207" s="568"/>
      <c r="S207" s="15"/>
      <c r="U207" s="542">
        <v>150</v>
      </c>
      <c r="V207" s="1305"/>
      <c r="W207" s="1306"/>
      <c r="X207" s="568"/>
      <c r="AL207" s="15"/>
    </row>
    <row r="208" spans="2:38">
      <c r="B208" s="542">
        <v>151</v>
      </c>
      <c r="C208" s="1305"/>
      <c r="D208" s="1306"/>
      <c r="E208" s="568"/>
      <c r="S208" s="15"/>
      <c r="U208" s="542">
        <v>151</v>
      </c>
      <c r="V208" s="1305"/>
      <c r="W208" s="1306"/>
      <c r="X208" s="568"/>
      <c r="AL208" s="15"/>
    </row>
    <row r="209" spans="2:38">
      <c r="B209" s="542">
        <v>152</v>
      </c>
      <c r="C209" s="1305"/>
      <c r="D209" s="1306"/>
      <c r="E209" s="568"/>
      <c r="S209" s="15"/>
      <c r="U209" s="542">
        <v>152</v>
      </c>
      <c r="V209" s="1305"/>
      <c r="W209" s="1306"/>
      <c r="X209" s="568"/>
      <c r="AL209" s="15"/>
    </row>
    <row r="210" spans="2:38">
      <c r="B210" s="542">
        <v>153</v>
      </c>
      <c r="C210" s="1305"/>
      <c r="D210" s="1306"/>
      <c r="E210" s="568"/>
      <c r="S210" s="15"/>
      <c r="U210" s="542">
        <v>153</v>
      </c>
      <c r="V210" s="1305"/>
      <c r="W210" s="1306"/>
      <c r="X210" s="568"/>
      <c r="AL210" s="15"/>
    </row>
    <row r="211" spans="2:38">
      <c r="B211" s="542">
        <v>154</v>
      </c>
      <c r="C211" s="1305"/>
      <c r="D211" s="1306"/>
      <c r="E211" s="568"/>
      <c r="S211" s="15"/>
      <c r="U211" s="542">
        <v>154</v>
      </c>
      <c r="V211" s="1305"/>
      <c r="W211" s="1306"/>
      <c r="X211" s="568"/>
      <c r="AL211" s="15"/>
    </row>
    <row r="212" spans="2:38">
      <c r="B212" s="542">
        <v>155</v>
      </c>
      <c r="C212" s="1305"/>
      <c r="D212" s="1306"/>
      <c r="E212" s="568"/>
      <c r="S212" s="15"/>
      <c r="U212" s="542">
        <v>155</v>
      </c>
      <c r="V212" s="1305"/>
      <c r="W212" s="1306"/>
      <c r="X212" s="568"/>
      <c r="AL212" s="15"/>
    </row>
    <row r="213" spans="2:38">
      <c r="B213" s="542">
        <v>156</v>
      </c>
      <c r="C213" s="1305"/>
      <c r="D213" s="1306"/>
      <c r="E213" s="568"/>
      <c r="S213" s="15"/>
      <c r="U213" s="542">
        <v>156</v>
      </c>
      <c r="V213" s="1305"/>
      <c r="W213" s="1306"/>
      <c r="X213" s="568"/>
      <c r="AL213" s="15"/>
    </row>
    <row r="214" spans="2:38">
      <c r="B214" s="542">
        <v>157</v>
      </c>
      <c r="C214" s="1305"/>
      <c r="D214" s="1306"/>
      <c r="E214" s="568"/>
      <c r="S214" s="15"/>
      <c r="U214" s="542">
        <v>157</v>
      </c>
      <c r="V214" s="1305"/>
      <c r="W214" s="1306"/>
      <c r="X214" s="568"/>
      <c r="AL214" s="15"/>
    </row>
    <row r="215" spans="2:38">
      <c r="B215" s="542">
        <v>158</v>
      </c>
      <c r="C215" s="1305"/>
      <c r="D215" s="1306"/>
      <c r="E215" s="568"/>
      <c r="S215" s="15"/>
      <c r="U215" s="542">
        <v>158</v>
      </c>
      <c r="V215" s="1305"/>
      <c r="W215" s="1306"/>
      <c r="X215" s="568"/>
      <c r="AL215" s="15"/>
    </row>
    <row r="216" spans="2:38">
      <c r="B216" s="542">
        <v>159</v>
      </c>
      <c r="C216" s="1305"/>
      <c r="D216" s="1306"/>
      <c r="E216" s="568"/>
      <c r="S216" s="15"/>
      <c r="U216" s="542">
        <v>159</v>
      </c>
      <c r="V216" s="1305"/>
      <c r="W216" s="1306"/>
      <c r="X216" s="568"/>
      <c r="AL216" s="15"/>
    </row>
    <row r="217" spans="2:38">
      <c r="B217" s="542">
        <v>160</v>
      </c>
      <c r="C217" s="1305"/>
      <c r="D217" s="1306"/>
      <c r="E217" s="568"/>
      <c r="S217" s="15"/>
      <c r="U217" s="542">
        <v>160</v>
      </c>
      <c r="V217" s="1305"/>
      <c r="W217" s="1306"/>
      <c r="X217" s="568"/>
      <c r="AL217" s="15"/>
    </row>
    <row r="218" spans="2:38">
      <c r="B218" s="542">
        <v>161</v>
      </c>
      <c r="C218" s="1305"/>
      <c r="D218" s="1306"/>
      <c r="E218" s="568"/>
      <c r="S218" s="15"/>
      <c r="U218" s="542">
        <v>161</v>
      </c>
      <c r="V218" s="1305"/>
      <c r="W218" s="1306"/>
      <c r="X218" s="568"/>
      <c r="AL218" s="15"/>
    </row>
    <row r="219" spans="2:38">
      <c r="B219" s="542">
        <v>162</v>
      </c>
      <c r="C219" s="1305"/>
      <c r="D219" s="1306"/>
      <c r="E219" s="568"/>
      <c r="S219" s="15"/>
      <c r="U219" s="542">
        <v>162</v>
      </c>
      <c r="V219" s="1305"/>
      <c r="W219" s="1306"/>
      <c r="X219" s="568"/>
      <c r="AL219" s="15"/>
    </row>
    <row r="220" spans="2:38">
      <c r="B220" s="542">
        <v>163</v>
      </c>
      <c r="C220" s="1305"/>
      <c r="D220" s="1306"/>
      <c r="E220" s="568"/>
      <c r="S220" s="15"/>
      <c r="U220" s="542">
        <v>163</v>
      </c>
      <c r="V220" s="1305"/>
      <c r="W220" s="1306"/>
      <c r="X220" s="568"/>
      <c r="AL220" s="15"/>
    </row>
    <row r="221" spans="2:38">
      <c r="B221" s="542">
        <v>164</v>
      </c>
      <c r="C221" s="1305"/>
      <c r="D221" s="1306"/>
      <c r="E221" s="568"/>
      <c r="S221" s="15"/>
      <c r="U221" s="542">
        <v>164</v>
      </c>
      <c r="V221" s="1305"/>
      <c r="W221" s="1306"/>
      <c r="X221" s="568"/>
      <c r="AL221" s="15"/>
    </row>
    <row r="222" spans="2:38">
      <c r="B222" s="542">
        <v>165</v>
      </c>
      <c r="C222" s="1305"/>
      <c r="D222" s="1306"/>
      <c r="E222" s="568"/>
      <c r="S222" s="15"/>
      <c r="U222" s="542">
        <v>165</v>
      </c>
      <c r="V222" s="1305"/>
      <c r="W222" s="1306"/>
      <c r="X222" s="568"/>
      <c r="AL222" s="15"/>
    </row>
    <row r="223" spans="2:38">
      <c r="B223" s="542">
        <v>166</v>
      </c>
      <c r="C223" s="1305"/>
      <c r="D223" s="1306"/>
      <c r="E223" s="568"/>
      <c r="S223" s="15"/>
      <c r="U223" s="542">
        <v>166</v>
      </c>
      <c r="V223" s="1305"/>
      <c r="W223" s="1306"/>
      <c r="X223" s="568"/>
      <c r="AL223" s="15"/>
    </row>
    <row r="224" spans="2:38">
      <c r="B224" s="542">
        <v>167</v>
      </c>
      <c r="C224" s="1305"/>
      <c r="D224" s="1306"/>
      <c r="E224" s="568"/>
      <c r="S224" s="15"/>
      <c r="U224" s="542">
        <v>167</v>
      </c>
      <c r="V224" s="1305"/>
      <c r="W224" s="1306"/>
      <c r="X224" s="568"/>
      <c r="AL224" s="15"/>
    </row>
    <row r="225" spans="2:38">
      <c r="B225" s="542">
        <v>168</v>
      </c>
      <c r="C225" s="1305"/>
      <c r="D225" s="1306"/>
      <c r="E225" s="568"/>
      <c r="S225" s="15"/>
      <c r="U225" s="542">
        <v>168</v>
      </c>
      <c r="V225" s="1305"/>
      <c r="W225" s="1306"/>
      <c r="X225" s="568"/>
      <c r="AL225" s="15"/>
    </row>
    <row r="226" spans="2:38">
      <c r="B226" s="542">
        <v>169</v>
      </c>
      <c r="C226" s="1305"/>
      <c r="D226" s="1306"/>
      <c r="E226" s="568"/>
      <c r="S226" s="15"/>
      <c r="U226" s="542">
        <v>169</v>
      </c>
      <c r="V226" s="1305"/>
      <c r="W226" s="1306"/>
      <c r="X226" s="568"/>
      <c r="AL226" s="15"/>
    </row>
    <row r="227" spans="2:38">
      <c r="B227" s="542">
        <v>170</v>
      </c>
      <c r="C227" s="1305"/>
      <c r="D227" s="1306"/>
      <c r="E227" s="568"/>
      <c r="S227" s="15"/>
      <c r="U227" s="542">
        <v>170</v>
      </c>
      <c r="V227" s="1305"/>
      <c r="W227" s="1306"/>
      <c r="X227" s="568"/>
      <c r="AL227" s="15"/>
    </row>
    <row r="228" spans="2:38">
      <c r="B228" s="542">
        <v>171</v>
      </c>
      <c r="C228" s="1305"/>
      <c r="D228" s="1306"/>
      <c r="E228" s="568"/>
      <c r="S228" s="15"/>
      <c r="U228" s="542">
        <v>171</v>
      </c>
      <c r="V228" s="1305"/>
      <c r="W228" s="1306"/>
      <c r="X228" s="568"/>
      <c r="AL228" s="15"/>
    </row>
    <row r="229" spans="2:38">
      <c r="B229" s="542">
        <v>172</v>
      </c>
      <c r="C229" s="1305"/>
      <c r="D229" s="1306"/>
      <c r="E229" s="569"/>
      <c r="S229" s="15"/>
      <c r="U229" s="542">
        <v>172</v>
      </c>
      <c r="V229" s="1305"/>
      <c r="W229" s="1306"/>
      <c r="X229" s="569"/>
      <c r="AL229" s="15"/>
    </row>
    <row r="230" spans="2:38">
      <c r="B230" s="542">
        <v>173</v>
      </c>
      <c r="C230" s="1310"/>
      <c r="D230" s="1311"/>
      <c r="E230" s="569"/>
      <c r="S230" s="15"/>
      <c r="U230" s="542">
        <v>173</v>
      </c>
      <c r="V230" s="1310"/>
      <c r="W230" s="1311"/>
      <c r="X230" s="569"/>
      <c r="AL230" s="15"/>
    </row>
    <row r="231" spans="2:38">
      <c r="B231" s="542">
        <v>174</v>
      </c>
      <c r="C231" s="1310"/>
      <c r="D231" s="1311"/>
      <c r="E231" s="569"/>
      <c r="S231" s="15"/>
      <c r="U231" s="542">
        <v>174</v>
      </c>
      <c r="V231" s="1310"/>
      <c r="W231" s="1311"/>
      <c r="X231" s="569"/>
      <c r="AL231" s="15"/>
    </row>
    <row r="232" spans="2:38">
      <c r="B232" s="542">
        <v>175</v>
      </c>
      <c r="C232" s="1310"/>
      <c r="D232" s="1311"/>
      <c r="E232" s="569"/>
      <c r="S232" s="15"/>
      <c r="U232" s="542">
        <v>175</v>
      </c>
      <c r="V232" s="1310"/>
      <c r="W232" s="1311"/>
      <c r="X232" s="569"/>
      <c r="AL232" s="15"/>
    </row>
    <row r="233" spans="2:38">
      <c r="B233" s="542">
        <v>176</v>
      </c>
      <c r="C233" s="1310"/>
      <c r="D233" s="1311"/>
      <c r="E233" s="569"/>
      <c r="S233" s="15"/>
      <c r="U233" s="542">
        <v>176</v>
      </c>
      <c r="V233" s="1310"/>
      <c r="W233" s="1311"/>
      <c r="X233" s="569"/>
      <c r="AL233" s="15"/>
    </row>
    <row r="234" spans="2:38">
      <c r="B234" s="542">
        <v>177</v>
      </c>
      <c r="C234" s="1310"/>
      <c r="D234" s="1311"/>
      <c r="E234" s="569"/>
      <c r="S234" s="15"/>
      <c r="U234" s="542">
        <v>177</v>
      </c>
      <c r="V234" s="1310"/>
      <c r="W234" s="1311"/>
      <c r="X234" s="569"/>
      <c r="AL234" s="15"/>
    </row>
    <row r="235" spans="2:38">
      <c r="B235" s="542">
        <v>178</v>
      </c>
      <c r="C235" s="1310"/>
      <c r="D235" s="1311"/>
      <c r="E235" s="569"/>
      <c r="S235" s="15"/>
      <c r="U235" s="542">
        <v>178</v>
      </c>
      <c r="V235" s="1310"/>
      <c r="W235" s="1311"/>
      <c r="X235" s="569"/>
      <c r="AL235" s="15"/>
    </row>
    <row r="236" spans="2:38">
      <c r="B236" s="542">
        <v>179</v>
      </c>
      <c r="C236" s="1310"/>
      <c r="D236" s="1311"/>
      <c r="E236" s="569"/>
      <c r="S236" s="15"/>
      <c r="U236" s="542">
        <v>179</v>
      </c>
      <c r="V236" s="1310"/>
      <c r="W236" s="1311"/>
      <c r="X236" s="569"/>
      <c r="AL236" s="15"/>
    </row>
    <row r="237" spans="2:38">
      <c r="B237" s="542">
        <v>180</v>
      </c>
      <c r="C237" s="1310"/>
      <c r="D237" s="1311"/>
      <c r="E237" s="569"/>
      <c r="S237" s="15"/>
      <c r="U237" s="542">
        <v>180</v>
      </c>
      <c r="V237" s="1310"/>
      <c r="W237" s="1311"/>
      <c r="X237" s="569"/>
      <c r="AL237" s="15"/>
    </row>
    <row r="238" spans="2:38">
      <c r="B238" s="542">
        <v>181</v>
      </c>
      <c r="C238" s="1310"/>
      <c r="D238" s="1311"/>
      <c r="E238" s="569"/>
      <c r="S238" s="15"/>
      <c r="U238" s="542">
        <v>181</v>
      </c>
      <c r="V238" s="1310"/>
      <c r="W238" s="1311"/>
      <c r="X238" s="569"/>
      <c r="AL238" s="15"/>
    </row>
    <row r="239" spans="2:38">
      <c r="B239" s="542">
        <v>182</v>
      </c>
      <c r="C239" s="1310"/>
      <c r="D239" s="1311"/>
      <c r="E239" s="569"/>
      <c r="S239" s="15"/>
      <c r="U239" s="542">
        <v>182</v>
      </c>
      <c r="V239" s="1310"/>
      <c r="W239" s="1311"/>
      <c r="X239" s="569"/>
      <c r="AL239" s="15"/>
    </row>
    <row r="240" spans="2:38">
      <c r="B240" s="542">
        <v>183</v>
      </c>
      <c r="C240" s="1310"/>
      <c r="D240" s="1311"/>
      <c r="E240" s="569"/>
      <c r="S240" s="15"/>
      <c r="U240" s="542">
        <v>183</v>
      </c>
      <c r="V240" s="1310"/>
      <c r="W240" s="1311"/>
      <c r="X240" s="569"/>
      <c r="AL240" s="15"/>
    </row>
    <row r="241" spans="2:38">
      <c r="B241" s="542">
        <v>184</v>
      </c>
      <c r="C241" s="1310"/>
      <c r="D241" s="1311"/>
      <c r="E241" s="569"/>
      <c r="S241" s="15"/>
      <c r="U241" s="542">
        <v>184</v>
      </c>
      <c r="V241" s="1310"/>
      <c r="W241" s="1311"/>
      <c r="X241" s="569"/>
      <c r="AL241" s="15"/>
    </row>
    <row r="242" spans="2:38">
      <c r="B242" s="542">
        <v>185</v>
      </c>
      <c r="C242" s="1310"/>
      <c r="D242" s="1311"/>
      <c r="E242" s="569"/>
      <c r="S242" s="15"/>
      <c r="U242" s="542">
        <v>185</v>
      </c>
      <c r="V242" s="1310"/>
      <c r="W242" s="1311"/>
      <c r="X242" s="569"/>
      <c r="AL242" s="15"/>
    </row>
    <row r="243" spans="2:38">
      <c r="B243" s="542">
        <v>186</v>
      </c>
      <c r="C243" s="1310"/>
      <c r="D243" s="1311"/>
      <c r="E243" s="569"/>
      <c r="S243" s="15"/>
      <c r="U243" s="542">
        <v>186</v>
      </c>
      <c r="V243" s="1310"/>
      <c r="W243" s="1311"/>
      <c r="X243" s="569"/>
      <c r="AL243" s="15"/>
    </row>
    <row r="244" spans="2:38">
      <c r="B244" s="542">
        <v>187</v>
      </c>
      <c r="C244" s="1310"/>
      <c r="D244" s="1311"/>
      <c r="E244" s="569"/>
      <c r="S244" s="15"/>
      <c r="U244" s="542">
        <v>187</v>
      </c>
      <c r="V244" s="1310"/>
      <c r="W244" s="1311"/>
      <c r="X244" s="569"/>
      <c r="AL244" s="15"/>
    </row>
    <row r="245" spans="2:38">
      <c r="B245" s="542">
        <v>188</v>
      </c>
      <c r="C245" s="1310"/>
      <c r="D245" s="1311"/>
      <c r="E245" s="569"/>
      <c r="S245" s="15"/>
      <c r="U245" s="542">
        <v>188</v>
      </c>
      <c r="V245" s="1310"/>
      <c r="W245" s="1311"/>
      <c r="X245" s="569"/>
      <c r="AL245" s="15"/>
    </row>
    <row r="246" spans="2:38">
      <c r="B246" s="542">
        <v>189</v>
      </c>
      <c r="C246" s="1310"/>
      <c r="D246" s="1311"/>
      <c r="E246" s="569"/>
      <c r="S246" s="15"/>
      <c r="U246" s="542">
        <v>189</v>
      </c>
      <c r="V246" s="1310"/>
      <c r="W246" s="1311"/>
      <c r="X246" s="569"/>
      <c r="AL246" s="15"/>
    </row>
    <row r="247" spans="2:38">
      <c r="B247" s="542">
        <v>190</v>
      </c>
      <c r="C247" s="1310"/>
      <c r="D247" s="1311"/>
      <c r="E247" s="569"/>
      <c r="S247" s="15"/>
      <c r="U247" s="542">
        <v>190</v>
      </c>
      <c r="V247" s="1310"/>
      <c r="W247" s="1311"/>
      <c r="X247" s="569"/>
      <c r="AL247" s="15"/>
    </row>
    <row r="248" spans="2:38">
      <c r="B248" s="542">
        <v>191</v>
      </c>
      <c r="C248" s="1310"/>
      <c r="D248" s="1311"/>
      <c r="E248" s="569"/>
      <c r="S248" s="15"/>
      <c r="U248" s="542">
        <v>191</v>
      </c>
      <c r="V248" s="1310"/>
      <c r="W248" s="1311"/>
      <c r="X248" s="569"/>
      <c r="AL248" s="15"/>
    </row>
    <row r="249" spans="2:38">
      <c r="B249" s="542">
        <v>192</v>
      </c>
      <c r="C249" s="1310"/>
      <c r="D249" s="1311"/>
      <c r="E249" s="569"/>
      <c r="S249" s="15"/>
      <c r="U249" s="542">
        <v>192</v>
      </c>
      <c r="V249" s="1310"/>
      <c r="W249" s="1311"/>
      <c r="X249" s="569"/>
      <c r="AL249" s="15"/>
    </row>
    <row r="250" spans="2:38">
      <c r="B250" s="542">
        <v>193</v>
      </c>
      <c r="C250" s="1310"/>
      <c r="D250" s="1311"/>
      <c r="E250" s="569"/>
      <c r="S250" s="15"/>
      <c r="U250" s="542">
        <v>193</v>
      </c>
      <c r="V250" s="1310"/>
      <c r="W250" s="1311"/>
      <c r="X250" s="569"/>
      <c r="AL250" s="15"/>
    </row>
    <row r="251" spans="2:38">
      <c r="B251" s="542">
        <v>194</v>
      </c>
      <c r="C251" s="1310"/>
      <c r="D251" s="1311"/>
      <c r="E251" s="569"/>
      <c r="S251" s="15"/>
      <c r="U251" s="542">
        <v>194</v>
      </c>
      <c r="V251" s="1310"/>
      <c r="W251" s="1311"/>
      <c r="X251" s="569"/>
      <c r="AL251" s="15"/>
    </row>
    <row r="252" spans="2:38">
      <c r="B252" s="542">
        <v>195</v>
      </c>
      <c r="C252" s="1310"/>
      <c r="D252" s="1311"/>
      <c r="E252" s="569"/>
      <c r="S252" s="15"/>
      <c r="U252" s="542">
        <v>195</v>
      </c>
      <c r="V252" s="1310"/>
      <c r="W252" s="1311"/>
      <c r="X252" s="569"/>
      <c r="AL252" s="15"/>
    </row>
    <row r="253" spans="2:38">
      <c r="B253" s="542">
        <v>196</v>
      </c>
      <c r="C253" s="1310"/>
      <c r="D253" s="1311"/>
      <c r="E253" s="569"/>
      <c r="S253" s="15"/>
      <c r="U253" s="542">
        <v>196</v>
      </c>
      <c r="V253" s="1310"/>
      <c r="W253" s="1311"/>
      <c r="X253" s="569"/>
      <c r="AL253" s="15"/>
    </row>
    <row r="254" spans="2:38">
      <c r="B254" s="542">
        <v>197</v>
      </c>
      <c r="C254" s="1310"/>
      <c r="D254" s="1311"/>
      <c r="E254" s="569"/>
      <c r="S254" s="15"/>
      <c r="U254" s="542">
        <v>197</v>
      </c>
      <c r="V254" s="1310"/>
      <c r="W254" s="1311"/>
      <c r="X254" s="569"/>
      <c r="AL254" s="15"/>
    </row>
    <row r="255" spans="2:38">
      <c r="B255" s="542">
        <v>198</v>
      </c>
      <c r="C255" s="1310"/>
      <c r="D255" s="1311"/>
      <c r="E255" s="569"/>
      <c r="S255" s="15"/>
      <c r="U255" s="542">
        <v>198</v>
      </c>
      <c r="V255" s="1310"/>
      <c r="W255" s="1311"/>
      <c r="X255" s="569"/>
      <c r="AL255" s="15"/>
    </row>
    <row r="256" spans="2:38">
      <c r="B256" s="542">
        <v>199</v>
      </c>
      <c r="C256" s="1310"/>
      <c r="D256" s="1311"/>
      <c r="E256" s="569"/>
      <c r="S256" s="15"/>
      <c r="U256" s="542">
        <v>199</v>
      </c>
      <c r="V256" s="1310"/>
      <c r="W256" s="1311"/>
      <c r="X256" s="569"/>
      <c r="AL256" s="15"/>
    </row>
    <row r="257" spans="2:38">
      <c r="B257" s="542">
        <v>200</v>
      </c>
      <c r="C257" s="1310"/>
      <c r="D257" s="1311"/>
      <c r="E257" s="569"/>
      <c r="S257" s="15"/>
      <c r="U257" s="542">
        <v>200</v>
      </c>
      <c r="V257" s="1310"/>
      <c r="W257" s="1311"/>
      <c r="X257" s="569"/>
      <c r="AL257" s="15"/>
    </row>
    <row r="258" spans="2:38">
      <c r="B258" s="542">
        <v>201</v>
      </c>
      <c r="C258" s="1310"/>
      <c r="D258" s="1311"/>
      <c r="E258" s="569"/>
      <c r="S258" s="15"/>
      <c r="U258" s="542">
        <v>201</v>
      </c>
      <c r="V258" s="1310"/>
      <c r="W258" s="1311"/>
      <c r="X258" s="569"/>
      <c r="AL258" s="15"/>
    </row>
    <row r="259" spans="2:38">
      <c r="B259" s="542">
        <v>202</v>
      </c>
      <c r="C259" s="1310"/>
      <c r="D259" s="1311"/>
      <c r="E259" s="569"/>
      <c r="S259" s="15"/>
      <c r="U259" s="542">
        <v>202</v>
      </c>
      <c r="V259" s="1310"/>
      <c r="W259" s="1311"/>
      <c r="X259" s="569"/>
      <c r="AL259" s="15"/>
    </row>
    <row r="260" spans="2:38">
      <c r="B260" s="542">
        <v>203</v>
      </c>
      <c r="C260" s="1310"/>
      <c r="D260" s="1311"/>
      <c r="E260" s="569"/>
      <c r="S260" s="15"/>
      <c r="U260" s="542">
        <v>203</v>
      </c>
      <c r="V260" s="1310"/>
      <c r="W260" s="1311"/>
      <c r="X260" s="569"/>
      <c r="AL260" s="15"/>
    </row>
    <row r="261" spans="2:38">
      <c r="B261" s="542">
        <v>204</v>
      </c>
      <c r="C261" s="1310"/>
      <c r="D261" s="1311"/>
      <c r="E261" s="569"/>
      <c r="S261" s="15"/>
      <c r="U261" s="542">
        <v>204</v>
      </c>
      <c r="V261" s="1310"/>
      <c r="W261" s="1311"/>
      <c r="X261" s="569"/>
      <c r="AL261" s="15"/>
    </row>
    <row r="262" spans="2:38">
      <c r="B262" s="542">
        <v>205</v>
      </c>
      <c r="C262" s="1310"/>
      <c r="D262" s="1311"/>
      <c r="E262" s="569"/>
      <c r="S262" s="15"/>
      <c r="U262" s="542">
        <v>205</v>
      </c>
      <c r="V262" s="1310"/>
      <c r="W262" s="1311"/>
      <c r="X262" s="569"/>
      <c r="AL262" s="15"/>
    </row>
    <row r="263" spans="2:38">
      <c r="B263" s="542">
        <v>206</v>
      </c>
      <c r="C263" s="1310"/>
      <c r="D263" s="1311"/>
      <c r="E263" s="569"/>
      <c r="S263" s="15"/>
      <c r="U263" s="542">
        <v>206</v>
      </c>
      <c r="V263" s="1310"/>
      <c r="W263" s="1311"/>
      <c r="X263" s="569"/>
      <c r="AL263" s="15"/>
    </row>
    <row r="264" spans="2:38">
      <c r="B264" s="542">
        <v>207</v>
      </c>
      <c r="C264" s="1310"/>
      <c r="D264" s="1311"/>
      <c r="E264" s="569"/>
      <c r="S264" s="15"/>
      <c r="U264" s="542">
        <v>207</v>
      </c>
      <c r="V264" s="1310"/>
      <c r="W264" s="1311"/>
      <c r="X264" s="569"/>
      <c r="AL264" s="15"/>
    </row>
    <row r="265" spans="2:38">
      <c r="B265" s="542">
        <v>208</v>
      </c>
      <c r="C265" s="1310"/>
      <c r="D265" s="1311"/>
      <c r="E265" s="569"/>
      <c r="S265" s="15"/>
      <c r="U265" s="542">
        <v>208</v>
      </c>
      <c r="V265" s="1310"/>
      <c r="W265" s="1311"/>
      <c r="X265" s="569"/>
      <c r="AL265" s="15"/>
    </row>
    <row r="266" spans="2:38">
      <c r="B266" s="542">
        <v>209</v>
      </c>
      <c r="C266" s="1310"/>
      <c r="D266" s="1311"/>
      <c r="E266" s="569"/>
      <c r="S266" s="15"/>
      <c r="U266" s="542">
        <v>209</v>
      </c>
      <c r="V266" s="1310"/>
      <c r="W266" s="1311"/>
      <c r="X266" s="569"/>
      <c r="AL266" s="15"/>
    </row>
    <row r="267" spans="2:38">
      <c r="B267" s="542">
        <v>210</v>
      </c>
      <c r="C267" s="1310"/>
      <c r="D267" s="1311"/>
      <c r="E267" s="569"/>
      <c r="S267" s="15"/>
      <c r="U267" s="542">
        <v>210</v>
      </c>
      <c r="V267" s="1310"/>
      <c r="W267" s="1311"/>
      <c r="X267" s="569"/>
      <c r="AL267" s="15"/>
    </row>
    <row r="268" spans="2:38">
      <c r="B268" s="542">
        <v>211</v>
      </c>
      <c r="C268" s="1310"/>
      <c r="D268" s="1311"/>
      <c r="E268" s="569"/>
      <c r="S268" s="15"/>
      <c r="U268" s="542">
        <v>211</v>
      </c>
      <c r="V268" s="1310"/>
      <c r="W268" s="1311"/>
      <c r="X268" s="569"/>
      <c r="AL268" s="15"/>
    </row>
    <row r="269" spans="2:38">
      <c r="B269" s="542">
        <v>212</v>
      </c>
      <c r="C269" s="1310"/>
      <c r="D269" s="1311"/>
      <c r="E269" s="569"/>
      <c r="S269" s="15"/>
      <c r="U269" s="542">
        <v>212</v>
      </c>
      <c r="V269" s="1310"/>
      <c r="W269" s="1311"/>
      <c r="X269" s="569"/>
      <c r="AL269" s="15"/>
    </row>
    <row r="270" spans="2:38">
      <c r="B270" s="542">
        <v>213</v>
      </c>
      <c r="C270" s="1310"/>
      <c r="D270" s="1311"/>
      <c r="E270" s="569"/>
      <c r="S270" s="15"/>
      <c r="U270" s="542">
        <v>213</v>
      </c>
      <c r="V270" s="1310"/>
      <c r="W270" s="1311"/>
      <c r="X270" s="569"/>
      <c r="AL270" s="15"/>
    </row>
    <row r="271" spans="2:38">
      <c r="B271" s="542">
        <v>214</v>
      </c>
      <c r="C271" s="1310"/>
      <c r="D271" s="1311"/>
      <c r="E271" s="569"/>
      <c r="S271" s="15"/>
      <c r="U271" s="542">
        <v>214</v>
      </c>
      <c r="V271" s="1310"/>
      <c r="W271" s="1311"/>
      <c r="X271" s="569"/>
      <c r="AL271" s="15"/>
    </row>
    <row r="272" spans="2:38">
      <c r="B272" s="542">
        <v>215</v>
      </c>
      <c r="C272" s="1310"/>
      <c r="D272" s="1311"/>
      <c r="E272" s="569"/>
      <c r="S272" s="15"/>
      <c r="U272" s="542">
        <v>215</v>
      </c>
      <c r="V272" s="1310"/>
      <c r="W272" s="1311"/>
      <c r="X272" s="569"/>
      <c r="AL272" s="15"/>
    </row>
    <row r="273" spans="2:38">
      <c r="B273" s="542">
        <v>216</v>
      </c>
      <c r="C273" s="1310"/>
      <c r="D273" s="1311"/>
      <c r="E273" s="569"/>
      <c r="S273" s="15"/>
      <c r="U273" s="542">
        <v>216</v>
      </c>
      <c r="V273" s="1310"/>
      <c r="W273" s="1311"/>
      <c r="X273" s="569"/>
      <c r="AL273" s="15"/>
    </row>
    <row r="274" spans="2:38">
      <c r="B274" s="542">
        <v>217</v>
      </c>
      <c r="C274" s="1310"/>
      <c r="D274" s="1311"/>
      <c r="E274" s="569"/>
      <c r="S274" s="15"/>
      <c r="U274" s="542">
        <v>217</v>
      </c>
      <c r="V274" s="1310"/>
      <c r="W274" s="1311"/>
      <c r="X274" s="569"/>
      <c r="AL274" s="15"/>
    </row>
    <row r="275" spans="2:38">
      <c r="B275" s="542">
        <v>218</v>
      </c>
      <c r="C275" s="1310"/>
      <c r="D275" s="1311"/>
      <c r="E275" s="569"/>
      <c r="S275" s="15"/>
      <c r="U275" s="542">
        <v>218</v>
      </c>
      <c r="V275" s="1310"/>
      <c r="W275" s="1311"/>
      <c r="X275" s="569"/>
      <c r="AL275" s="15"/>
    </row>
    <row r="276" spans="2:38">
      <c r="B276" s="542">
        <v>219</v>
      </c>
      <c r="C276" s="1310"/>
      <c r="D276" s="1311"/>
      <c r="E276" s="569"/>
      <c r="S276" s="15"/>
      <c r="U276" s="542">
        <v>219</v>
      </c>
      <c r="V276" s="1310"/>
      <c r="W276" s="1311"/>
      <c r="X276" s="569"/>
      <c r="AL276" s="15"/>
    </row>
    <row r="277" spans="2:38">
      <c r="B277" s="542">
        <v>220</v>
      </c>
      <c r="C277" s="1310"/>
      <c r="D277" s="1311"/>
      <c r="E277" s="569"/>
      <c r="S277" s="15"/>
      <c r="U277" s="542">
        <v>220</v>
      </c>
      <c r="V277" s="1310"/>
      <c r="W277" s="1311"/>
      <c r="X277" s="569"/>
      <c r="AL277" s="15"/>
    </row>
    <row r="278" spans="2:38">
      <c r="B278" s="542">
        <v>221</v>
      </c>
      <c r="C278" s="1310"/>
      <c r="D278" s="1311"/>
      <c r="E278" s="569"/>
      <c r="S278" s="15"/>
      <c r="U278" s="542">
        <v>221</v>
      </c>
      <c r="V278" s="1310"/>
      <c r="W278" s="1311"/>
      <c r="X278" s="569"/>
      <c r="AL278" s="15"/>
    </row>
    <row r="279" spans="2:38">
      <c r="B279" s="542">
        <v>222</v>
      </c>
      <c r="C279" s="1310"/>
      <c r="D279" s="1311"/>
      <c r="E279" s="569"/>
      <c r="S279" s="15"/>
      <c r="U279" s="542">
        <v>222</v>
      </c>
      <c r="V279" s="1310"/>
      <c r="W279" s="1311"/>
      <c r="X279" s="569"/>
      <c r="AL279" s="15"/>
    </row>
    <row r="280" spans="2:38">
      <c r="B280" s="542">
        <v>223</v>
      </c>
      <c r="C280" s="1310"/>
      <c r="D280" s="1311"/>
      <c r="E280" s="569"/>
      <c r="S280" s="15"/>
      <c r="U280" s="542">
        <v>223</v>
      </c>
      <c r="V280" s="1310"/>
      <c r="W280" s="1311"/>
      <c r="X280" s="569"/>
      <c r="AL280" s="15"/>
    </row>
    <row r="281" spans="2:38">
      <c r="B281" s="542">
        <v>224</v>
      </c>
      <c r="C281" s="1310"/>
      <c r="D281" s="1311"/>
      <c r="E281" s="569"/>
      <c r="S281" s="15"/>
      <c r="U281" s="542">
        <v>224</v>
      </c>
      <c r="V281" s="1310"/>
      <c r="W281" s="1311"/>
      <c r="X281" s="569"/>
      <c r="AL281" s="15"/>
    </row>
    <row r="282" spans="2:38">
      <c r="B282" s="542">
        <v>225</v>
      </c>
      <c r="C282" s="1310"/>
      <c r="D282" s="1311"/>
      <c r="E282" s="569"/>
      <c r="S282" s="15"/>
      <c r="U282" s="542">
        <v>225</v>
      </c>
      <c r="V282" s="1310"/>
      <c r="W282" s="1311"/>
      <c r="X282" s="569"/>
      <c r="AL282" s="15"/>
    </row>
    <row r="283" spans="2:38">
      <c r="B283" s="542">
        <v>226</v>
      </c>
      <c r="C283" s="1310"/>
      <c r="D283" s="1311"/>
      <c r="E283" s="569"/>
      <c r="S283" s="15"/>
      <c r="U283" s="542">
        <v>226</v>
      </c>
      <c r="V283" s="1310"/>
      <c r="W283" s="1311"/>
      <c r="X283" s="569"/>
      <c r="AL283" s="15"/>
    </row>
    <row r="284" spans="2:38">
      <c r="B284" s="542">
        <v>227</v>
      </c>
      <c r="C284" s="1310"/>
      <c r="D284" s="1311"/>
      <c r="E284" s="569"/>
      <c r="S284" s="15"/>
      <c r="U284" s="542">
        <v>227</v>
      </c>
      <c r="V284" s="1310"/>
      <c r="W284" s="1311"/>
      <c r="X284" s="569"/>
      <c r="AL284" s="15"/>
    </row>
    <row r="285" spans="2:38">
      <c r="B285" s="542">
        <v>228</v>
      </c>
      <c r="C285" s="1310"/>
      <c r="D285" s="1311"/>
      <c r="E285" s="569"/>
      <c r="S285" s="15"/>
      <c r="U285" s="542">
        <v>228</v>
      </c>
      <c r="V285" s="1310"/>
      <c r="W285" s="1311"/>
      <c r="X285" s="569"/>
      <c r="AL285" s="15"/>
    </row>
    <row r="286" spans="2:38">
      <c r="B286" s="542">
        <v>229</v>
      </c>
      <c r="C286" s="1310"/>
      <c r="D286" s="1311"/>
      <c r="E286" s="569"/>
      <c r="S286" s="15"/>
      <c r="U286" s="542">
        <v>229</v>
      </c>
      <c r="V286" s="1310"/>
      <c r="W286" s="1311"/>
      <c r="X286" s="569"/>
      <c r="AL286" s="15"/>
    </row>
    <row r="287" spans="2:38">
      <c r="B287" s="542">
        <v>230</v>
      </c>
      <c r="C287" s="1310"/>
      <c r="D287" s="1311"/>
      <c r="E287" s="569"/>
      <c r="S287" s="15"/>
      <c r="U287" s="542">
        <v>230</v>
      </c>
      <c r="V287" s="1310"/>
      <c r="W287" s="1311"/>
      <c r="X287" s="569"/>
      <c r="AL287" s="15"/>
    </row>
    <row r="288" spans="2:38">
      <c r="B288" s="542">
        <v>231</v>
      </c>
      <c r="C288" s="1310"/>
      <c r="D288" s="1311"/>
      <c r="E288" s="569"/>
      <c r="S288" s="15"/>
      <c r="U288" s="542">
        <v>231</v>
      </c>
      <c r="V288" s="1310"/>
      <c r="W288" s="1311"/>
      <c r="X288" s="569"/>
      <c r="AL288" s="15"/>
    </row>
    <row r="289" spans="2:38">
      <c r="B289" s="542">
        <v>232</v>
      </c>
      <c r="C289" s="1310"/>
      <c r="D289" s="1311"/>
      <c r="E289" s="569"/>
      <c r="S289" s="15"/>
      <c r="U289" s="542">
        <v>232</v>
      </c>
      <c r="V289" s="1310"/>
      <c r="W289" s="1311"/>
      <c r="X289" s="569"/>
      <c r="AL289" s="15"/>
    </row>
    <row r="290" spans="2:38">
      <c r="B290" s="542">
        <v>233</v>
      </c>
      <c r="C290" s="1310"/>
      <c r="D290" s="1311"/>
      <c r="E290" s="569"/>
      <c r="S290" s="15"/>
      <c r="U290" s="542">
        <v>233</v>
      </c>
      <c r="V290" s="1310"/>
      <c r="W290" s="1311"/>
      <c r="X290" s="569"/>
      <c r="AL290" s="15"/>
    </row>
    <row r="291" spans="2:38">
      <c r="B291" s="542">
        <v>234</v>
      </c>
      <c r="C291" s="1310"/>
      <c r="D291" s="1311"/>
      <c r="E291" s="569"/>
      <c r="S291" s="15"/>
      <c r="U291" s="542">
        <v>234</v>
      </c>
      <c r="V291" s="1310"/>
      <c r="W291" s="1311"/>
      <c r="X291" s="569"/>
      <c r="AL291" s="15"/>
    </row>
    <row r="292" spans="2:38">
      <c r="B292" s="542">
        <v>235</v>
      </c>
      <c r="C292" s="1310"/>
      <c r="D292" s="1311"/>
      <c r="E292" s="569"/>
      <c r="S292" s="15"/>
      <c r="U292" s="542">
        <v>235</v>
      </c>
      <c r="V292" s="1310"/>
      <c r="W292" s="1311"/>
      <c r="X292" s="569"/>
      <c r="AL292" s="15"/>
    </row>
    <row r="293" spans="2:38">
      <c r="B293" s="542">
        <v>236</v>
      </c>
      <c r="C293" s="1310"/>
      <c r="D293" s="1311"/>
      <c r="E293" s="569"/>
      <c r="S293" s="15"/>
      <c r="U293" s="542">
        <v>236</v>
      </c>
      <c r="V293" s="1310"/>
      <c r="W293" s="1311"/>
      <c r="X293" s="569"/>
      <c r="AL293" s="15"/>
    </row>
    <row r="294" spans="2:38">
      <c r="B294" s="542">
        <v>237</v>
      </c>
      <c r="C294" s="1310"/>
      <c r="D294" s="1311"/>
      <c r="E294" s="569"/>
      <c r="S294" s="15"/>
      <c r="U294" s="542">
        <v>237</v>
      </c>
      <c r="V294" s="1310"/>
      <c r="W294" s="1311"/>
      <c r="X294" s="569"/>
      <c r="AL294" s="15"/>
    </row>
    <row r="295" spans="2:38">
      <c r="B295" s="542">
        <v>238</v>
      </c>
      <c r="C295" s="1310"/>
      <c r="D295" s="1311"/>
      <c r="E295" s="569"/>
      <c r="S295" s="15"/>
      <c r="U295" s="542">
        <v>238</v>
      </c>
      <c r="V295" s="1310"/>
      <c r="W295" s="1311"/>
      <c r="X295" s="569"/>
      <c r="AL295" s="15"/>
    </row>
    <row r="296" spans="2:38">
      <c r="B296" s="542">
        <v>239</v>
      </c>
      <c r="C296" s="1310"/>
      <c r="D296" s="1311"/>
      <c r="E296" s="569"/>
      <c r="S296" s="15"/>
      <c r="U296" s="542">
        <v>239</v>
      </c>
      <c r="V296" s="1310"/>
      <c r="W296" s="1311"/>
      <c r="X296" s="569"/>
      <c r="AL296" s="15"/>
    </row>
    <row r="297" spans="2:38">
      <c r="B297" s="542">
        <v>240</v>
      </c>
      <c r="C297" s="1310"/>
      <c r="D297" s="1311"/>
      <c r="E297" s="569"/>
      <c r="S297" s="15"/>
      <c r="U297" s="542">
        <v>240</v>
      </c>
      <c r="V297" s="1310"/>
      <c r="W297" s="1311"/>
      <c r="X297" s="569"/>
      <c r="AL297" s="15"/>
    </row>
    <row r="298" spans="2:38">
      <c r="B298" s="542">
        <v>241</v>
      </c>
      <c r="C298" s="1310"/>
      <c r="D298" s="1311"/>
      <c r="E298" s="569"/>
      <c r="S298" s="15"/>
      <c r="U298" s="542">
        <v>241</v>
      </c>
      <c r="V298" s="1310"/>
      <c r="W298" s="1311"/>
      <c r="X298" s="569"/>
      <c r="AL298" s="15"/>
    </row>
    <row r="299" spans="2:38">
      <c r="B299" s="542">
        <v>242</v>
      </c>
      <c r="C299" s="1310"/>
      <c r="D299" s="1311"/>
      <c r="E299" s="569"/>
      <c r="S299" s="15"/>
      <c r="U299" s="542">
        <v>242</v>
      </c>
      <c r="V299" s="1310"/>
      <c r="W299" s="1311"/>
      <c r="X299" s="569"/>
      <c r="AL299" s="15"/>
    </row>
    <row r="300" spans="2:38">
      <c r="B300" s="542">
        <v>243</v>
      </c>
      <c r="C300" s="1310"/>
      <c r="D300" s="1311"/>
      <c r="E300" s="569"/>
      <c r="S300" s="15"/>
      <c r="U300" s="542">
        <v>243</v>
      </c>
      <c r="V300" s="1310"/>
      <c r="W300" s="1311"/>
      <c r="X300" s="569"/>
      <c r="AL300" s="15"/>
    </row>
    <row r="301" spans="2:38">
      <c r="B301" s="542">
        <v>244</v>
      </c>
      <c r="C301" s="1310"/>
      <c r="D301" s="1311"/>
      <c r="E301" s="569"/>
      <c r="S301" s="15"/>
      <c r="U301" s="542">
        <v>244</v>
      </c>
      <c r="V301" s="1310"/>
      <c r="W301" s="1311"/>
      <c r="X301" s="569"/>
      <c r="AL301" s="15"/>
    </row>
    <row r="302" spans="2:38">
      <c r="B302" s="542">
        <v>245</v>
      </c>
      <c r="C302" s="1310"/>
      <c r="D302" s="1311"/>
      <c r="E302" s="569"/>
      <c r="S302" s="15"/>
      <c r="U302" s="542">
        <v>245</v>
      </c>
      <c r="V302" s="1310"/>
      <c r="W302" s="1311"/>
      <c r="X302" s="569"/>
      <c r="AL302" s="15"/>
    </row>
    <row r="303" spans="2:38">
      <c r="B303" s="542">
        <v>246</v>
      </c>
      <c r="C303" s="1310"/>
      <c r="D303" s="1311"/>
      <c r="E303" s="569"/>
      <c r="S303" s="15"/>
      <c r="U303" s="542">
        <v>246</v>
      </c>
      <c r="V303" s="1310"/>
      <c r="W303" s="1311"/>
      <c r="X303" s="569"/>
      <c r="AL303" s="15"/>
    </row>
    <row r="304" spans="2:38">
      <c r="B304" s="542">
        <v>247</v>
      </c>
      <c r="C304" s="1310"/>
      <c r="D304" s="1311"/>
      <c r="E304" s="569"/>
      <c r="S304" s="15"/>
      <c r="U304" s="542">
        <v>247</v>
      </c>
      <c r="V304" s="1310"/>
      <c r="W304" s="1311"/>
      <c r="X304" s="569"/>
      <c r="AL304" s="15"/>
    </row>
    <row r="305" spans="2:38">
      <c r="B305" s="542">
        <v>248</v>
      </c>
      <c r="C305" s="1310"/>
      <c r="D305" s="1311"/>
      <c r="E305" s="569"/>
      <c r="S305" s="15"/>
      <c r="U305" s="542">
        <v>248</v>
      </c>
      <c r="V305" s="1310"/>
      <c r="W305" s="1311"/>
      <c r="X305" s="569"/>
      <c r="AL305" s="15"/>
    </row>
    <row r="306" spans="2:38">
      <c r="B306" s="542">
        <v>249</v>
      </c>
      <c r="C306" s="1310"/>
      <c r="D306" s="1311"/>
      <c r="E306" s="569"/>
      <c r="S306" s="15"/>
      <c r="U306" s="542">
        <v>249</v>
      </c>
      <c r="V306" s="1310"/>
      <c r="W306" s="1311"/>
      <c r="X306" s="569"/>
      <c r="AL306" s="15"/>
    </row>
    <row r="307" spans="2:38">
      <c r="B307" s="542">
        <v>250</v>
      </c>
      <c r="C307" s="1310"/>
      <c r="D307" s="1311"/>
      <c r="E307" s="569"/>
      <c r="S307" s="15"/>
      <c r="U307" s="542">
        <v>250</v>
      </c>
      <c r="V307" s="1310"/>
      <c r="W307" s="1311"/>
      <c r="X307" s="569"/>
      <c r="AL307" s="15"/>
    </row>
    <row r="308" spans="2:38">
      <c r="B308" s="542">
        <v>251</v>
      </c>
      <c r="C308" s="1310"/>
      <c r="D308" s="1311"/>
      <c r="E308" s="569"/>
      <c r="S308" s="15"/>
      <c r="U308" s="542">
        <v>251</v>
      </c>
      <c r="V308" s="1310"/>
      <c r="W308" s="1311"/>
      <c r="X308" s="569"/>
      <c r="AL308" s="15"/>
    </row>
    <row r="309" spans="2:38">
      <c r="B309" s="542">
        <v>252</v>
      </c>
      <c r="C309" s="1310"/>
      <c r="D309" s="1311"/>
      <c r="E309" s="569"/>
      <c r="S309" s="15"/>
      <c r="U309" s="542">
        <v>252</v>
      </c>
      <c r="V309" s="1310"/>
      <c r="W309" s="1311"/>
      <c r="X309" s="569"/>
      <c r="AL309" s="15"/>
    </row>
    <row r="310" spans="2:38">
      <c r="B310" s="542">
        <v>253</v>
      </c>
      <c r="C310" s="1310"/>
      <c r="D310" s="1311"/>
      <c r="E310" s="569"/>
      <c r="S310" s="15"/>
      <c r="U310" s="542">
        <v>253</v>
      </c>
      <c r="V310" s="1310"/>
      <c r="W310" s="1311"/>
      <c r="X310" s="569"/>
      <c r="AL310" s="15"/>
    </row>
    <row r="311" spans="2:38">
      <c r="B311" s="542">
        <v>254</v>
      </c>
      <c r="C311" s="1310"/>
      <c r="D311" s="1311"/>
      <c r="E311" s="569"/>
      <c r="S311" s="15"/>
      <c r="U311" s="542">
        <v>254</v>
      </c>
      <c r="V311" s="1310"/>
      <c r="W311" s="1311"/>
      <c r="X311" s="569"/>
      <c r="AL311" s="15"/>
    </row>
    <row r="312" spans="2:38">
      <c r="B312" s="542">
        <v>255</v>
      </c>
      <c r="C312" s="1310"/>
      <c r="D312" s="1311"/>
      <c r="E312" s="569"/>
      <c r="S312" s="15"/>
      <c r="U312" s="542">
        <v>255</v>
      </c>
      <c r="V312" s="1310"/>
      <c r="W312" s="1311"/>
      <c r="X312" s="569"/>
      <c r="AL312" s="15"/>
    </row>
    <row r="313" spans="2:38">
      <c r="B313" s="542">
        <v>256</v>
      </c>
      <c r="C313" s="1310"/>
      <c r="D313" s="1311"/>
      <c r="E313" s="569"/>
      <c r="S313" s="15"/>
      <c r="U313" s="542">
        <v>256</v>
      </c>
      <c r="V313" s="1310"/>
      <c r="W313" s="1311"/>
      <c r="X313" s="569"/>
      <c r="AL313" s="15"/>
    </row>
    <row r="314" spans="2:38">
      <c r="B314" s="542">
        <v>257</v>
      </c>
      <c r="C314" s="1310"/>
      <c r="D314" s="1311"/>
      <c r="E314" s="569"/>
      <c r="S314" s="15"/>
      <c r="U314" s="542">
        <v>257</v>
      </c>
      <c r="V314" s="1310"/>
      <c r="W314" s="1311"/>
      <c r="X314" s="569"/>
      <c r="AL314" s="15"/>
    </row>
    <row r="315" spans="2:38">
      <c r="B315" s="542">
        <v>258</v>
      </c>
      <c r="C315" s="1310"/>
      <c r="D315" s="1311"/>
      <c r="E315" s="569"/>
      <c r="S315" s="15"/>
      <c r="U315" s="542">
        <v>258</v>
      </c>
      <c r="V315" s="1310"/>
      <c r="W315" s="1311"/>
      <c r="X315" s="569"/>
      <c r="AL315" s="15"/>
    </row>
    <row r="316" spans="2:38">
      <c r="B316" s="542">
        <v>259</v>
      </c>
      <c r="C316" s="1310"/>
      <c r="D316" s="1311"/>
      <c r="E316" s="569"/>
      <c r="S316" s="15"/>
      <c r="U316" s="542">
        <v>259</v>
      </c>
      <c r="V316" s="1310"/>
      <c r="W316" s="1311"/>
      <c r="X316" s="569"/>
      <c r="AL316" s="15"/>
    </row>
    <row r="317" spans="2:38">
      <c r="B317" s="542">
        <v>260</v>
      </c>
      <c r="C317" s="1310"/>
      <c r="D317" s="1311"/>
      <c r="E317" s="569"/>
      <c r="S317" s="15"/>
      <c r="U317" s="542">
        <v>260</v>
      </c>
      <c r="V317" s="1310"/>
      <c r="W317" s="1311"/>
      <c r="X317" s="569"/>
      <c r="AL317" s="15"/>
    </row>
    <row r="318" spans="2:38">
      <c r="B318" s="542">
        <v>261</v>
      </c>
      <c r="C318" s="1310"/>
      <c r="D318" s="1311"/>
      <c r="E318" s="569"/>
      <c r="S318" s="15"/>
      <c r="U318" s="542">
        <v>261</v>
      </c>
      <c r="V318" s="1310"/>
      <c r="W318" s="1311"/>
      <c r="X318" s="569"/>
      <c r="AL318" s="15"/>
    </row>
    <row r="319" spans="2:38">
      <c r="B319" s="542">
        <v>262</v>
      </c>
      <c r="C319" s="1310"/>
      <c r="D319" s="1311"/>
      <c r="E319" s="569"/>
      <c r="S319" s="15"/>
      <c r="U319" s="542">
        <v>262</v>
      </c>
      <c r="V319" s="1310"/>
      <c r="W319" s="1311"/>
      <c r="X319" s="569"/>
      <c r="AL319" s="15"/>
    </row>
    <row r="320" spans="2:38">
      <c r="B320" s="542">
        <v>263</v>
      </c>
      <c r="C320" s="1310"/>
      <c r="D320" s="1311"/>
      <c r="E320" s="569"/>
      <c r="S320" s="15"/>
      <c r="U320" s="542">
        <v>263</v>
      </c>
      <c r="V320" s="1310"/>
      <c r="W320" s="1311"/>
      <c r="X320" s="569"/>
      <c r="AL320" s="15"/>
    </row>
    <row r="321" spans="2:38">
      <c r="B321" s="542">
        <v>264</v>
      </c>
      <c r="C321" s="1310"/>
      <c r="D321" s="1311"/>
      <c r="E321" s="569"/>
      <c r="S321" s="15"/>
      <c r="U321" s="542">
        <v>264</v>
      </c>
      <c r="V321" s="1310"/>
      <c r="W321" s="1311"/>
      <c r="X321" s="569"/>
      <c r="AL321" s="15"/>
    </row>
    <row r="322" spans="2:38">
      <c r="B322" s="542">
        <v>265</v>
      </c>
      <c r="C322" s="1310"/>
      <c r="D322" s="1311"/>
      <c r="E322" s="569"/>
      <c r="S322" s="15"/>
      <c r="U322" s="542">
        <v>265</v>
      </c>
      <c r="V322" s="1310"/>
      <c r="W322" s="1311"/>
      <c r="X322" s="569"/>
      <c r="AL322" s="15"/>
    </row>
    <row r="323" spans="2:38">
      <c r="B323" s="542">
        <v>266</v>
      </c>
      <c r="C323" s="1310"/>
      <c r="D323" s="1311"/>
      <c r="E323" s="569"/>
      <c r="S323" s="15"/>
      <c r="U323" s="542">
        <v>266</v>
      </c>
      <c r="V323" s="1310"/>
      <c r="W323" s="1311"/>
      <c r="X323" s="569"/>
      <c r="AL323" s="15"/>
    </row>
    <row r="324" spans="2:38">
      <c r="B324" s="542">
        <v>267</v>
      </c>
      <c r="C324" s="1310"/>
      <c r="D324" s="1311"/>
      <c r="E324" s="569"/>
      <c r="S324" s="15"/>
      <c r="U324" s="542">
        <v>267</v>
      </c>
      <c r="V324" s="1310"/>
      <c r="W324" s="1311"/>
      <c r="X324" s="569"/>
      <c r="AL324" s="15"/>
    </row>
    <row r="325" spans="2:38">
      <c r="B325" s="542">
        <v>268</v>
      </c>
      <c r="C325" s="1310"/>
      <c r="D325" s="1311"/>
      <c r="E325" s="569"/>
      <c r="S325" s="15"/>
      <c r="U325" s="542">
        <v>268</v>
      </c>
      <c r="V325" s="1310"/>
      <c r="W325" s="1311"/>
      <c r="X325" s="569"/>
      <c r="AL325" s="15"/>
    </row>
    <row r="326" spans="2:38">
      <c r="B326" s="542">
        <v>269</v>
      </c>
      <c r="C326" s="1310"/>
      <c r="D326" s="1311"/>
      <c r="E326" s="569"/>
      <c r="S326" s="15"/>
      <c r="U326" s="542">
        <v>269</v>
      </c>
      <c r="V326" s="1310"/>
      <c r="W326" s="1311"/>
      <c r="X326" s="569"/>
      <c r="AL326" s="15"/>
    </row>
    <row r="327" spans="2:38">
      <c r="B327" s="542">
        <v>270</v>
      </c>
      <c r="C327" s="1310"/>
      <c r="D327" s="1311"/>
      <c r="E327" s="569"/>
      <c r="S327" s="15"/>
      <c r="U327" s="542">
        <v>270</v>
      </c>
      <c r="V327" s="1310"/>
      <c r="W327" s="1311"/>
      <c r="X327" s="569"/>
      <c r="AL327" s="15"/>
    </row>
    <row r="328" spans="2:38">
      <c r="B328" s="542">
        <v>271</v>
      </c>
      <c r="C328" s="1310"/>
      <c r="D328" s="1311"/>
      <c r="E328" s="569"/>
      <c r="S328" s="15"/>
      <c r="U328" s="542">
        <v>271</v>
      </c>
      <c r="V328" s="1310"/>
      <c r="W328" s="1311"/>
      <c r="X328" s="569"/>
      <c r="AL328" s="15"/>
    </row>
    <row r="329" spans="2:38">
      <c r="B329" s="542">
        <v>272</v>
      </c>
      <c r="C329" s="1310"/>
      <c r="D329" s="1311"/>
      <c r="E329" s="569"/>
      <c r="S329" s="15"/>
      <c r="U329" s="542">
        <v>272</v>
      </c>
      <c r="V329" s="1310"/>
      <c r="W329" s="1311"/>
      <c r="X329" s="569"/>
      <c r="AL329" s="15"/>
    </row>
    <row r="330" spans="2:38">
      <c r="B330" s="542">
        <v>273</v>
      </c>
      <c r="C330" s="1310"/>
      <c r="D330" s="1311"/>
      <c r="E330" s="569"/>
      <c r="S330" s="15"/>
      <c r="U330" s="542">
        <v>273</v>
      </c>
      <c r="V330" s="1310"/>
      <c r="W330" s="1311"/>
      <c r="X330" s="569"/>
      <c r="AL330" s="15"/>
    </row>
    <row r="331" spans="2:38">
      <c r="B331" s="542">
        <v>274</v>
      </c>
      <c r="C331" s="1310"/>
      <c r="D331" s="1311"/>
      <c r="E331" s="569"/>
      <c r="S331" s="15"/>
      <c r="U331" s="542">
        <v>274</v>
      </c>
      <c r="V331" s="1310"/>
      <c r="W331" s="1311"/>
      <c r="X331" s="569"/>
      <c r="AL331" s="15"/>
    </row>
    <row r="332" spans="2:38">
      <c r="B332" s="542">
        <v>275</v>
      </c>
      <c r="C332" s="1310"/>
      <c r="D332" s="1311"/>
      <c r="E332" s="569"/>
      <c r="S332" s="15"/>
      <c r="U332" s="542">
        <v>275</v>
      </c>
      <c r="V332" s="1310"/>
      <c r="W332" s="1311"/>
      <c r="X332" s="569"/>
      <c r="AL332" s="15"/>
    </row>
    <row r="333" spans="2:38">
      <c r="B333" s="542">
        <v>276</v>
      </c>
      <c r="C333" s="1310"/>
      <c r="D333" s="1311"/>
      <c r="E333" s="569"/>
      <c r="S333" s="15"/>
      <c r="U333" s="542">
        <v>276</v>
      </c>
      <c r="V333" s="1310"/>
      <c r="W333" s="1311"/>
      <c r="X333" s="569"/>
      <c r="AL333" s="15"/>
    </row>
    <row r="334" spans="2:38">
      <c r="B334" s="542">
        <v>277</v>
      </c>
      <c r="C334" s="1310"/>
      <c r="D334" s="1311"/>
      <c r="E334" s="569"/>
      <c r="S334" s="15"/>
      <c r="U334" s="542">
        <v>277</v>
      </c>
      <c r="V334" s="1310"/>
      <c r="W334" s="1311"/>
      <c r="X334" s="569"/>
      <c r="AL334" s="15"/>
    </row>
    <row r="335" spans="2:38">
      <c r="B335" s="542">
        <v>278</v>
      </c>
      <c r="C335" s="1310"/>
      <c r="D335" s="1311"/>
      <c r="E335" s="569"/>
      <c r="S335" s="15"/>
      <c r="U335" s="542">
        <v>278</v>
      </c>
      <c r="V335" s="1310"/>
      <c r="W335" s="1311"/>
      <c r="X335" s="569"/>
      <c r="AL335" s="15"/>
    </row>
    <row r="336" spans="2:38">
      <c r="B336" s="542">
        <v>279</v>
      </c>
      <c r="C336" s="1310"/>
      <c r="D336" s="1311"/>
      <c r="E336" s="569"/>
      <c r="S336" s="15"/>
      <c r="U336" s="542">
        <v>279</v>
      </c>
      <c r="V336" s="1310"/>
      <c r="W336" s="1311"/>
      <c r="X336" s="569"/>
      <c r="AL336" s="15"/>
    </row>
    <row r="337" spans="2:38">
      <c r="B337" s="542">
        <v>280</v>
      </c>
      <c r="C337" s="1310"/>
      <c r="D337" s="1311"/>
      <c r="E337" s="569"/>
      <c r="S337" s="15"/>
      <c r="U337" s="542">
        <v>280</v>
      </c>
      <c r="V337" s="1310"/>
      <c r="W337" s="1311"/>
      <c r="X337" s="569"/>
      <c r="AL337" s="15"/>
    </row>
    <row r="338" spans="2:38">
      <c r="B338" s="542">
        <v>281</v>
      </c>
      <c r="C338" s="1310"/>
      <c r="D338" s="1311"/>
      <c r="E338" s="569"/>
      <c r="S338" s="15"/>
      <c r="U338" s="542">
        <v>281</v>
      </c>
      <c r="V338" s="1310"/>
      <c r="W338" s="1311"/>
      <c r="X338" s="569"/>
      <c r="AL338" s="15"/>
    </row>
    <row r="339" spans="2:38">
      <c r="B339" s="542">
        <v>282</v>
      </c>
      <c r="C339" s="1310"/>
      <c r="D339" s="1311"/>
      <c r="E339" s="569"/>
      <c r="S339" s="15"/>
      <c r="U339" s="542">
        <v>282</v>
      </c>
      <c r="V339" s="1310"/>
      <c r="W339" s="1311"/>
      <c r="X339" s="569"/>
      <c r="AL339" s="15"/>
    </row>
    <row r="340" spans="2:38">
      <c r="B340" s="542">
        <v>283</v>
      </c>
      <c r="C340" s="1310"/>
      <c r="D340" s="1311"/>
      <c r="E340" s="569"/>
      <c r="S340" s="15"/>
      <c r="U340" s="542">
        <v>283</v>
      </c>
      <c r="V340" s="1310"/>
      <c r="W340" s="1311"/>
      <c r="X340" s="569"/>
      <c r="AL340" s="15"/>
    </row>
    <row r="341" spans="2:38">
      <c r="B341" s="542">
        <v>284</v>
      </c>
      <c r="C341" s="1310"/>
      <c r="D341" s="1311"/>
      <c r="E341" s="569"/>
      <c r="S341" s="15"/>
      <c r="U341" s="542">
        <v>284</v>
      </c>
      <c r="V341" s="1310"/>
      <c r="W341" s="1311"/>
      <c r="X341" s="569"/>
      <c r="AL341" s="15"/>
    </row>
    <row r="342" spans="2:38">
      <c r="B342" s="542">
        <v>285</v>
      </c>
      <c r="C342" s="1310"/>
      <c r="D342" s="1311"/>
      <c r="E342" s="569"/>
      <c r="S342" s="15"/>
      <c r="U342" s="542">
        <v>285</v>
      </c>
      <c r="V342" s="1310"/>
      <c r="W342" s="1311"/>
      <c r="X342" s="569"/>
      <c r="AL342" s="15"/>
    </row>
    <row r="343" spans="2:38">
      <c r="B343" s="542">
        <v>286</v>
      </c>
      <c r="C343" s="1310"/>
      <c r="D343" s="1311"/>
      <c r="E343" s="569"/>
      <c r="S343" s="15"/>
      <c r="U343" s="542">
        <v>286</v>
      </c>
      <c r="V343" s="1310"/>
      <c r="W343" s="1311"/>
      <c r="X343" s="569"/>
      <c r="AL343" s="15"/>
    </row>
    <row r="344" spans="2:38">
      <c r="B344" s="542">
        <v>287</v>
      </c>
      <c r="C344" s="1310"/>
      <c r="D344" s="1311"/>
      <c r="E344" s="569"/>
      <c r="S344" s="15"/>
      <c r="U344" s="542">
        <v>287</v>
      </c>
      <c r="V344" s="1310"/>
      <c r="W344" s="1311"/>
      <c r="X344" s="569"/>
      <c r="AL344" s="15"/>
    </row>
    <row r="345" spans="2:38">
      <c r="B345" s="542">
        <v>288</v>
      </c>
      <c r="C345" s="1310"/>
      <c r="D345" s="1311"/>
      <c r="E345" s="569"/>
      <c r="S345" s="15"/>
      <c r="U345" s="542">
        <v>288</v>
      </c>
      <c r="V345" s="1310"/>
      <c r="W345" s="1311"/>
      <c r="X345" s="569"/>
      <c r="AL345" s="15"/>
    </row>
    <row r="346" spans="2:38">
      <c r="B346" s="542">
        <v>289</v>
      </c>
      <c r="C346" s="1310"/>
      <c r="D346" s="1311"/>
      <c r="E346" s="569"/>
      <c r="S346" s="15"/>
      <c r="U346" s="542">
        <v>289</v>
      </c>
      <c r="V346" s="1310"/>
      <c r="W346" s="1311"/>
      <c r="X346" s="569"/>
      <c r="AL346" s="15"/>
    </row>
    <row r="347" spans="2:38">
      <c r="B347" s="542">
        <v>290</v>
      </c>
      <c r="C347" s="1310"/>
      <c r="D347" s="1311"/>
      <c r="E347" s="569"/>
      <c r="S347" s="15"/>
      <c r="U347" s="542">
        <v>290</v>
      </c>
      <c r="V347" s="1310"/>
      <c r="W347" s="1311"/>
      <c r="X347" s="569"/>
      <c r="AL347" s="15"/>
    </row>
    <row r="348" spans="2:38">
      <c r="B348" s="542">
        <v>291</v>
      </c>
      <c r="C348" s="1310"/>
      <c r="D348" s="1311"/>
      <c r="E348" s="569"/>
      <c r="S348" s="15"/>
      <c r="U348" s="542">
        <v>291</v>
      </c>
      <c r="V348" s="1310"/>
      <c r="W348" s="1311"/>
      <c r="X348" s="569"/>
      <c r="AL348" s="15"/>
    </row>
    <row r="349" spans="2:38">
      <c r="B349" s="542">
        <v>292</v>
      </c>
      <c r="C349" s="1310"/>
      <c r="D349" s="1311"/>
      <c r="E349" s="569"/>
      <c r="S349" s="15"/>
      <c r="U349" s="542">
        <v>292</v>
      </c>
      <c r="V349" s="1310"/>
      <c r="W349" s="1311"/>
      <c r="X349" s="569"/>
      <c r="AL349" s="15"/>
    </row>
    <row r="350" spans="2:38">
      <c r="B350" s="542">
        <v>293</v>
      </c>
      <c r="C350" s="1310"/>
      <c r="D350" s="1311"/>
      <c r="E350" s="569"/>
      <c r="S350" s="15"/>
      <c r="U350" s="542">
        <v>293</v>
      </c>
      <c r="V350" s="1310"/>
      <c r="W350" s="1311"/>
      <c r="X350" s="569"/>
      <c r="AL350" s="15"/>
    </row>
    <row r="351" spans="2:38">
      <c r="B351" s="542">
        <v>294</v>
      </c>
      <c r="C351" s="1310"/>
      <c r="D351" s="1311"/>
      <c r="E351" s="569"/>
      <c r="S351" s="15"/>
      <c r="U351" s="542">
        <v>294</v>
      </c>
      <c r="V351" s="1310"/>
      <c r="W351" s="1311"/>
      <c r="X351" s="569"/>
      <c r="AL351" s="15"/>
    </row>
    <row r="352" spans="2:38">
      <c r="B352" s="542">
        <v>295</v>
      </c>
      <c r="C352" s="1310"/>
      <c r="D352" s="1311"/>
      <c r="E352" s="569"/>
      <c r="S352" s="15"/>
      <c r="U352" s="542">
        <v>295</v>
      </c>
      <c r="V352" s="1310"/>
      <c r="W352" s="1311"/>
      <c r="X352" s="569"/>
      <c r="AL352" s="15"/>
    </row>
    <row r="353" spans="1:38">
      <c r="B353" s="542">
        <v>296</v>
      </c>
      <c r="C353" s="1310"/>
      <c r="D353" s="1311"/>
      <c r="E353" s="569"/>
      <c r="S353" s="15"/>
      <c r="U353" s="542">
        <v>296</v>
      </c>
      <c r="V353" s="1310"/>
      <c r="W353" s="1311"/>
      <c r="X353" s="569"/>
      <c r="AL353" s="15"/>
    </row>
    <row r="354" spans="1:38">
      <c r="B354" s="542">
        <v>297</v>
      </c>
      <c r="C354" s="1310"/>
      <c r="D354" s="1311"/>
      <c r="E354" s="569"/>
      <c r="S354" s="15"/>
      <c r="U354" s="542">
        <v>297</v>
      </c>
      <c r="V354" s="1310"/>
      <c r="W354" s="1311"/>
      <c r="X354" s="569"/>
      <c r="AL354" s="15"/>
    </row>
    <row r="355" spans="1:38">
      <c r="B355" s="542">
        <v>298</v>
      </c>
      <c r="C355" s="1310"/>
      <c r="D355" s="1311"/>
      <c r="E355" s="569"/>
      <c r="S355" s="15"/>
      <c r="U355" s="542">
        <v>298</v>
      </c>
      <c r="V355" s="1310"/>
      <c r="W355" s="1311"/>
      <c r="X355" s="569"/>
      <c r="AL355" s="15"/>
    </row>
    <row r="356" spans="1:38">
      <c r="B356" s="542">
        <v>299</v>
      </c>
      <c r="C356" s="1310"/>
      <c r="D356" s="1311"/>
      <c r="E356" s="569"/>
      <c r="S356" s="15"/>
      <c r="U356" s="542">
        <v>299</v>
      </c>
      <c r="V356" s="1310"/>
      <c r="W356" s="1311"/>
      <c r="X356" s="569"/>
      <c r="AL356" s="15"/>
    </row>
    <row r="357" spans="1:38">
      <c r="B357" s="542">
        <v>300</v>
      </c>
      <c r="C357" s="1310"/>
      <c r="D357" s="1311"/>
      <c r="E357" s="569"/>
      <c r="S357" s="15"/>
      <c r="U357" s="542">
        <v>300</v>
      </c>
      <c r="V357" s="1310"/>
      <c r="W357" s="1311"/>
      <c r="X357" s="569"/>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Ga3VkDif9f+5g5QqCA1CrDcf8Od98yzLYrrfLna+tuhu55iQnCbuecJEyl+lHRSkkiTAUguLl+eaWGx+KniTDQ==" saltValue="i4/X1qZnOx/xLaKqBsUzfQ==" spinCount="100000" sheet="1" scenarios="1" insertHyperlinks="0"/>
  <protectedRanges>
    <protectedRange sqref="A5:S33 Q34:R37 D40:E40 D44:E44 D48:E48 D52:E52 T18:AL52 AH1:AL17" name="Bereich1"/>
    <protectedRange sqref="Z3:Z10 AD4:AD10" name="Bereich2"/>
    <protectedRange sqref="C58:E357 V58:X357" name="Bereich3"/>
  </protectedRanges>
  <mergeCells count="633">
    <mergeCell ref="AA12:AB12"/>
    <mergeCell ref="AA16:AB16"/>
    <mergeCell ref="AE12:AF12"/>
    <mergeCell ref="AE16:AF16"/>
    <mergeCell ref="U12:Y12"/>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 ref="V340:W340"/>
    <mergeCell ref="V341:W341"/>
    <mergeCell ref="V332:W332"/>
    <mergeCell ref="V333:W333"/>
    <mergeCell ref="V334:W334"/>
    <mergeCell ref="V335:W335"/>
    <mergeCell ref="V336:W336"/>
    <mergeCell ref="V327:W327"/>
    <mergeCell ref="V328:W328"/>
    <mergeCell ref="V329:W329"/>
    <mergeCell ref="V330:W330"/>
    <mergeCell ref="V331:W331"/>
    <mergeCell ref="V322:W322"/>
    <mergeCell ref="V323:W323"/>
    <mergeCell ref="V324:W324"/>
    <mergeCell ref="V325:W325"/>
    <mergeCell ref="V326:W326"/>
    <mergeCell ref="V317:W317"/>
    <mergeCell ref="V318:W318"/>
    <mergeCell ref="V319:W319"/>
    <mergeCell ref="V320:W320"/>
    <mergeCell ref="V321:W321"/>
    <mergeCell ref="V312:W312"/>
    <mergeCell ref="V313:W313"/>
    <mergeCell ref="V314:W314"/>
    <mergeCell ref="V315:W315"/>
    <mergeCell ref="V316:W316"/>
    <mergeCell ref="V307:W307"/>
    <mergeCell ref="V308:W308"/>
    <mergeCell ref="V309:W309"/>
    <mergeCell ref="V310:W310"/>
    <mergeCell ref="V311:W311"/>
    <mergeCell ref="V302:W302"/>
    <mergeCell ref="V303:W303"/>
    <mergeCell ref="V304:W304"/>
    <mergeCell ref="V305:W305"/>
    <mergeCell ref="V306:W306"/>
    <mergeCell ref="V297:W297"/>
    <mergeCell ref="V298:W298"/>
    <mergeCell ref="V299:W299"/>
    <mergeCell ref="V300:W300"/>
    <mergeCell ref="V301:W301"/>
    <mergeCell ref="V292:W292"/>
    <mergeCell ref="V293:W293"/>
    <mergeCell ref="V294:W294"/>
    <mergeCell ref="V295:W295"/>
    <mergeCell ref="V296:W296"/>
    <mergeCell ref="V287:W287"/>
    <mergeCell ref="V288:W288"/>
    <mergeCell ref="V289:W289"/>
    <mergeCell ref="V290:W290"/>
    <mergeCell ref="V291:W291"/>
    <mergeCell ref="V282:W282"/>
    <mergeCell ref="V283:W283"/>
    <mergeCell ref="V284:W284"/>
    <mergeCell ref="V285:W285"/>
    <mergeCell ref="V286:W286"/>
    <mergeCell ref="V277:W277"/>
    <mergeCell ref="V278:W278"/>
    <mergeCell ref="V279:W279"/>
    <mergeCell ref="V280:W280"/>
    <mergeCell ref="V281:W281"/>
    <mergeCell ref="V272:W272"/>
    <mergeCell ref="V273:W273"/>
    <mergeCell ref="V274:W274"/>
    <mergeCell ref="V275:W275"/>
    <mergeCell ref="V276:W276"/>
    <mergeCell ref="V267:W267"/>
    <mergeCell ref="V268:W268"/>
    <mergeCell ref="V269:W269"/>
    <mergeCell ref="V270:W270"/>
    <mergeCell ref="V271:W271"/>
    <mergeCell ref="V262:W262"/>
    <mergeCell ref="V263:W263"/>
    <mergeCell ref="V264:W264"/>
    <mergeCell ref="V265:W265"/>
    <mergeCell ref="V266:W266"/>
    <mergeCell ref="V257:W257"/>
    <mergeCell ref="V258:W258"/>
    <mergeCell ref="V259:W259"/>
    <mergeCell ref="V260:W260"/>
    <mergeCell ref="V261:W261"/>
    <mergeCell ref="V252:W252"/>
    <mergeCell ref="V253:W253"/>
    <mergeCell ref="V254:W254"/>
    <mergeCell ref="V255:W255"/>
    <mergeCell ref="V256:W256"/>
    <mergeCell ref="V247:W247"/>
    <mergeCell ref="V248:W248"/>
    <mergeCell ref="V249:W249"/>
    <mergeCell ref="V250:W250"/>
    <mergeCell ref="V251:W251"/>
    <mergeCell ref="V242:W242"/>
    <mergeCell ref="V243:W243"/>
    <mergeCell ref="V244:W244"/>
    <mergeCell ref="V245:W245"/>
    <mergeCell ref="V246:W246"/>
    <mergeCell ref="V237:W237"/>
    <mergeCell ref="V238:W238"/>
    <mergeCell ref="V239:W239"/>
    <mergeCell ref="V240:W240"/>
    <mergeCell ref="V241:W241"/>
    <mergeCell ref="V232:W232"/>
    <mergeCell ref="V233:W233"/>
    <mergeCell ref="V234:W234"/>
    <mergeCell ref="V235:W235"/>
    <mergeCell ref="V236:W236"/>
    <mergeCell ref="V227:W227"/>
    <mergeCell ref="V228:W228"/>
    <mergeCell ref="V229:W229"/>
    <mergeCell ref="V230:W230"/>
    <mergeCell ref="V231:W231"/>
    <mergeCell ref="V222:W222"/>
    <mergeCell ref="V223:W223"/>
    <mergeCell ref="V224:W224"/>
    <mergeCell ref="V225:W225"/>
    <mergeCell ref="V226:W226"/>
    <mergeCell ref="V217:W217"/>
    <mergeCell ref="V218:W218"/>
    <mergeCell ref="V219:W219"/>
    <mergeCell ref="V220:W220"/>
    <mergeCell ref="V221:W221"/>
    <mergeCell ref="V212:W212"/>
    <mergeCell ref="V213:W213"/>
    <mergeCell ref="V214:W214"/>
    <mergeCell ref="V215:W215"/>
    <mergeCell ref="V216:W216"/>
    <mergeCell ref="V207:W207"/>
    <mergeCell ref="V208:W208"/>
    <mergeCell ref="V209:W209"/>
    <mergeCell ref="V210:W210"/>
    <mergeCell ref="V211:W211"/>
    <mergeCell ref="V202:W202"/>
    <mergeCell ref="V203:W203"/>
    <mergeCell ref="V204:W204"/>
    <mergeCell ref="V205:W205"/>
    <mergeCell ref="V206:W206"/>
    <mergeCell ref="V197:W197"/>
    <mergeCell ref="V198:W198"/>
    <mergeCell ref="V199:W199"/>
    <mergeCell ref="V200:W200"/>
    <mergeCell ref="V201:W201"/>
    <mergeCell ref="V192:W192"/>
    <mergeCell ref="V193:W193"/>
    <mergeCell ref="V194:W194"/>
    <mergeCell ref="V195:W195"/>
    <mergeCell ref="V196:W196"/>
    <mergeCell ref="V187:W187"/>
    <mergeCell ref="V188:W188"/>
    <mergeCell ref="V189:W189"/>
    <mergeCell ref="V190:W190"/>
    <mergeCell ref="V191:W191"/>
    <mergeCell ref="V182:W182"/>
    <mergeCell ref="V183:W183"/>
    <mergeCell ref="V184:W184"/>
    <mergeCell ref="V185:W185"/>
    <mergeCell ref="V186:W186"/>
    <mergeCell ref="V177:W177"/>
    <mergeCell ref="V178:W178"/>
    <mergeCell ref="V179:W179"/>
    <mergeCell ref="V180:W180"/>
    <mergeCell ref="V181:W181"/>
    <mergeCell ref="V172:W172"/>
    <mergeCell ref="V173:W173"/>
    <mergeCell ref="V174:W174"/>
    <mergeCell ref="V175:W175"/>
    <mergeCell ref="V176:W176"/>
    <mergeCell ref="V167:W167"/>
    <mergeCell ref="V168:W168"/>
    <mergeCell ref="V169:W169"/>
    <mergeCell ref="V170:W170"/>
    <mergeCell ref="V171:W171"/>
    <mergeCell ref="V162:W162"/>
    <mergeCell ref="V163:W163"/>
    <mergeCell ref="V164:W164"/>
    <mergeCell ref="V165:W165"/>
    <mergeCell ref="V166:W166"/>
    <mergeCell ref="V157:W157"/>
    <mergeCell ref="V158:W158"/>
    <mergeCell ref="V159:W159"/>
    <mergeCell ref="V160:W160"/>
    <mergeCell ref="V161:W161"/>
    <mergeCell ref="V152:W152"/>
    <mergeCell ref="V153:W153"/>
    <mergeCell ref="V154:W154"/>
    <mergeCell ref="V155:W155"/>
    <mergeCell ref="V156:W156"/>
    <mergeCell ref="V147:W147"/>
    <mergeCell ref="V148:W148"/>
    <mergeCell ref="V149:W149"/>
    <mergeCell ref="V150:W150"/>
    <mergeCell ref="V151:W151"/>
    <mergeCell ref="V142:W142"/>
    <mergeCell ref="V143:W143"/>
    <mergeCell ref="V144:W144"/>
    <mergeCell ref="V145:W145"/>
    <mergeCell ref="V146:W146"/>
    <mergeCell ref="V137:W137"/>
    <mergeCell ref="V138:W138"/>
    <mergeCell ref="V139:W139"/>
    <mergeCell ref="V140:W140"/>
    <mergeCell ref="V141:W141"/>
    <mergeCell ref="V132:W132"/>
    <mergeCell ref="V133:W133"/>
    <mergeCell ref="V134:W134"/>
    <mergeCell ref="V135:W135"/>
    <mergeCell ref="V136:W136"/>
    <mergeCell ref="V127:W127"/>
    <mergeCell ref="V128:W128"/>
    <mergeCell ref="V129:W129"/>
    <mergeCell ref="V130:W130"/>
    <mergeCell ref="V131:W131"/>
    <mergeCell ref="V122:W122"/>
    <mergeCell ref="V123:W123"/>
    <mergeCell ref="V124:W124"/>
    <mergeCell ref="V125:W125"/>
    <mergeCell ref="V126:W126"/>
    <mergeCell ref="V117:W117"/>
    <mergeCell ref="V118:W118"/>
    <mergeCell ref="V119:W119"/>
    <mergeCell ref="V120:W120"/>
    <mergeCell ref="V121:W121"/>
    <mergeCell ref="V112:W112"/>
    <mergeCell ref="V113:W113"/>
    <mergeCell ref="V114:W114"/>
    <mergeCell ref="V115:W115"/>
    <mergeCell ref="V116:W116"/>
    <mergeCell ref="V107:W107"/>
    <mergeCell ref="V108:W108"/>
    <mergeCell ref="V109:W109"/>
    <mergeCell ref="V110:W110"/>
    <mergeCell ref="V111:W111"/>
    <mergeCell ref="V102:W102"/>
    <mergeCell ref="V103:W103"/>
    <mergeCell ref="V104:W104"/>
    <mergeCell ref="V105:W105"/>
    <mergeCell ref="V106:W106"/>
    <mergeCell ref="V97:W97"/>
    <mergeCell ref="V98:W98"/>
    <mergeCell ref="V99:W99"/>
    <mergeCell ref="V100:W100"/>
    <mergeCell ref="V101:W101"/>
    <mergeCell ref="V92:W92"/>
    <mergeCell ref="V93:W93"/>
    <mergeCell ref="V94:W94"/>
    <mergeCell ref="V95:W95"/>
    <mergeCell ref="V96:W96"/>
    <mergeCell ref="V87:W87"/>
    <mergeCell ref="V88:W88"/>
    <mergeCell ref="V89:W89"/>
    <mergeCell ref="V90:W90"/>
    <mergeCell ref="V91:W91"/>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37:D337"/>
    <mergeCell ref="C338:D338"/>
    <mergeCell ref="C339:D339"/>
    <mergeCell ref="C340:D340"/>
    <mergeCell ref="C341:D341"/>
    <mergeCell ref="C332:D332"/>
    <mergeCell ref="C333:D333"/>
    <mergeCell ref="C334:D334"/>
    <mergeCell ref="C335:D335"/>
    <mergeCell ref="C336:D336"/>
    <mergeCell ref="C327:D327"/>
    <mergeCell ref="C328:D328"/>
    <mergeCell ref="C329:D329"/>
    <mergeCell ref="C330:D330"/>
    <mergeCell ref="C331:D331"/>
    <mergeCell ref="C322:D322"/>
    <mergeCell ref="C323:D323"/>
    <mergeCell ref="C324:D324"/>
    <mergeCell ref="C325:D325"/>
    <mergeCell ref="C326:D326"/>
    <mergeCell ref="C317:D317"/>
    <mergeCell ref="C318:D318"/>
    <mergeCell ref="C319:D319"/>
    <mergeCell ref="C320:D320"/>
    <mergeCell ref="C321:D321"/>
    <mergeCell ref="C312:D312"/>
    <mergeCell ref="C313:D313"/>
    <mergeCell ref="C314:D314"/>
    <mergeCell ref="C315:D315"/>
    <mergeCell ref="C316:D316"/>
    <mergeCell ref="C307:D307"/>
    <mergeCell ref="C308:D308"/>
    <mergeCell ref="C309:D309"/>
    <mergeCell ref="C310:D310"/>
    <mergeCell ref="C311:D311"/>
    <mergeCell ref="C302:D302"/>
    <mergeCell ref="C303:D303"/>
    <mergeCell ref="C304:D304"/>
    <mergeCell ref="C305:D305"/>
    <mergeCell ref="C306:D306"/>
    <mergeCell ref="C297:D297"/>
    <mergeCell ref="C298:D298"/>
    <mergeCell ref="C299:D299"/>
    <mergeCell ref="C300:D300"/>
    <mergeCell ref="C301:D301"/>
    <mergeCell ref="C292:D292"/>
    <mergeCell ref="C293:D293"/>
    <mergeCell ref="C294:D294"/>
    <mergeCell ref="C295:D295"/>
    <mergeCell ref="C296:D296"/>
    <mergeCell ref="C287:D287"/>
    <mergeCell ref="C288:D288"/>
    <mergeCell ref="C289:D289"/>
    <mergeCell ref="C290:D290"/>
    <mergeCell ref="C291:D291"/>
    <mergeCell ref="C282:D282"/>
    <mergeCell ref="C283:D283"/>
    <mergeCell ref="C284:D284"/>
    <mergeCell ref="C285:D285"/>
    <mergeCell ref="C286:D286"/>
    <mergeCell ref="C277:D277"/>
    <mergeCell ref="C278:D278"/>
    <mergeCell ref="C279:D279"/>
    <mergeCell ref="C280:D280"/>
    <mergeCell ref="C281:D281"/>
    <mergeCell ref="C272:D272"/>
    <mergeCell ref="C273:D273"/>
    <mergeCell ref="C274:D274"/>
    <mergeCell ref="C275:D275"/>
    <mergeCell ref="C276:D276"/>
    <mergeCell ref="C267:D267"/>
    <mergeCell ref="C268:D268"/>
    <mergeCell ref="C269:D269"/>
    <mergeCell ref="C270:D270"/>
    <mergeCell ref="C271:D271"/>
    <mergeCell ref="C262:D262"/>
    <mergeCell ref="C263:D263"/>
    <mergeCell ref="C264:D264"/>
    <mergeCell ref="C265:D265"/>
    <mergeCell ref="C266:D266"/>
    <mergeCell ref="C257:D257"/>
    <mergeCell ref="C258:D258"/>
    <mergeCell ref="C259:D259"/>
    <mergeCell ref="C260:D260"/>
    <mergeCell ref="C261:D261"/>
    <mergeCell ref="C252:D252"/>
    <mergeCell ref="C253:D253"/>
    <mergeCell ref="C254:D254"/>
    <mergeCell ref="C255:D255"/>
    <mergeCell ref="C256:D256"/>
    <mergeCell ref="C247:D247"/>
    <mergeCell ref="C248:D248"/>
    <mergeCell ref="C249:D249"/>
    <mergeCell ref="C250:D250"/>
    <mergeCell ref="C251:D251"/>
    <mergeCell ref="C242:D242"/>
    <mergeCell ref="C243:D243"/>
    <mergeCell ref="C244:D244"/>
    <mergeCell ref="C245:D245"/>
    <mergeCell ref="C246:D246"/>
    <mergeCell ref="C237:D237"/>
    <mergeCell ref="C238:D238"/>
    <mergeCell ref="C239:D239"/>
    <mergeCell ref="C240:D240"/>
    <mergeCell ref="C241:D241"/>
    <mergeCell ref="C232:D232"/>
    <mergeCell ref="C233:D233"/>
    <mergeCell ref="C234:D234"/>
    <mergeCell ref="C235:D235"/>
    <mergeCell ref="C236:D236"/>
    <mergeCell ref="C227:D227"/>
    <mergeCell ref="C228:D228"/>
    <mergeCell ref="C229:D229"/>
    <mergeCell ref="C230:D230"/>
    <mergeCell ref="C231:D231"/>
    <mergeCell ref="C222:D222"/>
    <mergeCell ref="C223:D223"/>
    <mergeCell ref="C224:D224"/>
    <mergeCell ref="C225:D225"/>
    <mergeCell ref="C226:D226"/>
    <mergeCell ref="C217:D217"/>
    <mergeCell ref="C218:D218"/>
    <mergeCell ref="C219:D219"/>
    <mergeCell ref="C220:D220"/>
    <mergeCell ref="C221:D221"/>
    <mergeCell ref="C212:D212"/>
    <mergeCell ref="C213:D213"/>
    <mergeCell ref="C214:D214"/>
    <mergeCell ref="C215:D215"/>
    <mergeCell ref="C216:D216"/>
    <mergeCell ref="C207:D207"/>
    <mergeCell ref="C208:D208"/>
    <mergeCell ref="C209:D209"/>
    <mergeCell ref="C210:D210"/>
    <mergeCell ref="C211:D211"/>
    <mergeCell ref="C202:D202"/>
    <mergeCell ref="C203:D203"/>
    <mergeCell ref="C204:D204"/>
    <mergeCell ref="C205:D205"/>
    <mergeCell ref="C206:D206"/>
    <mergeCell ref="C197:D197"/>
    <mergeCell ref="C198:D198"/>
    <mergeCell ref="C199:D199"/>
    <mergeCell ref="C200:D200"/>
    <mergeCell ref="C201:D201"/>
    <mergeCell ref="C192:D192"/>
    <mergeCell ref="C193:D193"/>
    <mergeCell ref="C194:D194"/>
    <mergeCell ref="C195:D195"/>
    <mergeCell ref="C196:D196"/>
    <mergeCell ref="C187:D187"/>
    <mergeCell ref="C188:D188"/>
    <mergeCell ref="C189:D189"/>
    <mergeCell ref="C190:D190"/>
    <mergeCell ref="C191:D191"/>
    <mergeCell ref="C182:D182"/>
    <mergeCell ref="C183:D183"/>
    <mergeCell ref="C184:D184"/>
    <mergeCell ref="C185:D185"/>
    <mergeCell ref="C186:D186"/>
    <mergeCell ref="C177:D177"/>
    <mergeCell ref="C178:D178"/>
    <mergeCell ref="C179:D179"/>
    <mergeCell ref="C180:D180"/>
    <mergeCell ref="C181:D181"/>
    <mergeCell ref="C172:D172"/>
    <mergeCell ref="C173:D173"/>
    <mergeCell ref="C174:D174"/>
    <mergeCell ref="C175:D175"/>
    <mergeCell ref="C176:D176"/>
    <mergeCell ref="C167:D167"/>
    <mergeCell ref="C168:D168"/>
    <mergeCell ref="C169:D169"/>
    <mergeCell ref="C170:D170"/>
    <mergeCell ref="C171:D171"/>
    <mergeCell ref="C162:D162"/>
    <mergeCell ref="C163:D163"/>
    <mergeCell ref="C164:D164"/>
    <mergeCell ref="C165:D165"/>
    <mergeCell ref="C166:D166"/>
    <mergeCell ref="C157:D157"/>
    <mergeCell ref="C158:D158"/>
    <mergeCell ref="C159:D159"/>
    <mergeCell ref="C160:D160"/>
    <mergeCell ref="C161:D161"/>
    <mergeCell ref="C152:D152"/>
    <mergeCell ref="C153:D153"/>
    <mergeCell ref="C154:D154"/>
    <mergeCell ref="C155:D155"/>
    <mergeCell ref="C156:D156"/>
    <mergeCell ref="C147:D147"/>
    <mergeCell ref="C148:D148"/>
    <mergeCell ref="C149:D149"/>
    <mergeCell ref="C150:D150"/>
    <mergeCell ref="C151:D151"/>
    <mergeCell ref="C142:D142"/>
    <mergeCell ref="C143:D143"/>
    <mergeCell ref="C144:D144"/>
    <mergeCell ref="C145:D145"/>
    <mergeCell ref="C146:D146"/>
    <mergeCell ref="C137:D137"/>
    <mergeCell ref="C138:D138"/>
    <mergeCell ref="C139:D139"/>
    <mergeCell ref="C140:D140"/>
    <mergeCell ref="C141:D141"/>
    <mergeCell ref="C132:D132"/>
    <mergeCell ref="C133:D133"/>
    <mergeCell ref="C134:D134"/>
    <mergeCell ref="C135:D135"/>
    <mergeCell ref="C136:D136"/>
    <mergeCell ref="C127:D127"/>
    <mergeCell ref="C128:D128"/>
    <mergeCell ref="C129:D129"/>
    <mergeCell ref="C130:D130"/>
    <mergeCell ref="C131:D131"/>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V79:W79"/>
    <mergeCell ref="C87:D87"/>
    <mergeCell ref="C88:D88"/>
    <mergeCell ref="C89:D89"/>
    <mergeCell ref="C90:D90"/>
    <mergeCell ref="C91:D91"/>
    <mergeCell ref="C82:D82"/>
    <mergeCell ref="C83:D83"/>
    <mergeCell ref="C84:D84"/>
    <mergeCell ref="C85:D85"/>
    <mergeCell ref="C86:D86"/>
    <mergeCell ref="H57:I57"/>
    <mergeCell ref="U14:Y14"/>
    <mergeCell ref="U15:Y15"/>
    <mergeCell ref="C80:D80"/>
    <mergeCell ref="C81:D81"/>
    <mergeCell ref="C72:D72"/>
    <mergeCell ref="C73:D73"/>
    <mergeCell ref="C74:D74"/>
    <mergeCell ref="C75:D75"/>
    <mergeCell ref="C76:D76"/>
    <mergeCell ref="C67:D67"/>
    <mergeCell ref="C68:D68"/>
    <mergeCell ref="C69:D69"/>
    <mergeCell ref="C70:D70"/>
    <mergeCell ref="C71:D71"/>
    <mergeCell ref="V80:W80"/>
    <mergeCell ref="V81:W81"/>
    <mergeCell ref="V72:W72"/>
    <mergeCell ref="V73:W73"/>
    <mergeCell ref="V74:W74"/>
    <mergeCell ref="V75:W75"/>
    <mergeCell ref="V76:W76"/>
    <mergeCell ref="V77:W77"/>
    <mergeCell ref="V78:W78"/>
    <mergeCell ref="C58:D58"/>
    <mergeCell ref="C59:D59"/>
    <mergeCell ref="C60:D60"/>
    <mergeCell ref="C61:D61"/>
    <mergeCell ref="C77:D77"/>
    <mergeCell ref="C78:D78"/>
    <mergeCell ref="C79:D79"/>
    <mergeCell ref="C62:D62"/>
    <mergeCell ref="C63:D63"/>
    <mergeCell ref="C64:D64"/>
    <mergeCell ref="C65:D65"/>
    <mergeCell ref="C66:D66"/>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U13:Y13"/>
    <mergeCell ref="U16:Y16"/>
  </mergeCells>
  <phoneticPr fontId="2" type="noConversion"/>
  <conditionalFormatting sqref="D40:E40">
    <cfRule type="expression" dxfId="234" priority="5" stopIfTrue="1">
      <formula>Q34="YES"</formula>
    </cfRule>
    <cfRule type="expression" dxfId="233" priority="6" stopIfTrue="1">
      <formula>Q34="NO"</formula>
    </cfRule>
  </conditionalFormatting>
  <conditionalFormatting sqref="D44:E44">
    <cfRule type="expression" dxfId="232" priority="7" stopIfTrue="1">
      <formula>Q35="YES"</formula>
    </cfRule>
    <cfRule type="expression" dxfId="231" priority="8" stopIfTrue="1">
      <formula>Q35="NO"</formula>
    </cfRule>
  </conditionalFormatting>
  <conditionalFormatting sqref="D48:E48">
    <cfRule type="expression" dxfId="230" priority="9" stopIfTrue="1">
      <formula>Q36="YES"</formula>
    </cfRule>
    <cfRule type="expression" dxfId="229" priority="10" stopIfTrue="1">
      <formula>Q36="NO"</formula>
    </cfRule>
  </conditionalFormatting>
  <conditionalFormatting sqref="D52:E52">
    <cfRule type="expression" dxfId="228" priority="3" stopIfTrue="1">
      <formula>Q37="YES"</formula>
    </cfRule>
    <cfRule type="expression" dxfId="227" priority="4" stopIfTrue="1">
      <formula>Q37="NO"</formula>
    </cfRule>
  </conditionalFormatting>
  <conditionalFormatting sqref="F40:G40 F44:G44 F48:G48 F52:G52">
    <cfRule type="expression" dxfId="226" priority="11" stopIfTrue="1">
      <formula>F40="PASS"</formula>
    </cfRule>
    <cfRule type="expression" dxfId="225" priority="12" stopIfTrue="1">
      <formula>F40="FAIL"</formula>
    </cfRule>
    <cfRule type="expression" dxfId="224" priority="13" stopIfTrue="1">
      <formula>F40="N/A"</formula>
    </cfRule>
  </conditionalFormatting>
  <conditionalFormatting sqref="AA12 AE12 AA16 AE16">
    <cfRule type="cellIs" dxfId="223" priority="1" operator="equal">
      <formula>"FAIL"</formula>
    </cfRule>
    <cfRule type="cellIs" dxfId="222" priority="2" operator="equal">
      <formula>"pass"</formula>
    </cfRule>
  </conditionalFormatting>
  <dataValidations count="3">
    <dataValidation type="list" allowBlank="1" showInputMessage="1" showErrorMessage="1" sqref="Q34:R37" xr:uid="{00000000-0002-0000-1B00-000000000000}">
      <formula1>"YES, NO"</formula1>
    </dataValidation>
    <dataValidation type="list" allowBlank="1" showInputMessage="1" showErrorMessage="1" sqref="Z4 AD4" xr:uid="{F4AA81BE-03CE-4602-A5A3-7BE060B6819F}">
      <formula1>Tube_Type</formula1>
    </dataValidation>
    <dataValidation type="list" allowBlank="1" showInputMessage="1" showErrorMessage="1" sqref="Z3" xr:uid="{51B59B1F-3B31-4852-BB8B-492CF47F132A}">
      <formula1>"Lap belt only, Combined belts"</formula1>
    </dataValidation>
  </dataValidations>
  <hyperlinks>
    <hyperlink ref="O51" location="'Cover Sheet'!A1" display="BACK to COVER SHEET" xr:uid="{00000000-0004-0000-1B00-000000000000}"/>
    <hyperlink ref="AM2:AO2" location="'Cover Sheet'!A1" display="BACK to COVER SHEET" xr:uid="{00000000-0004-0000-1B00-000001000000}"/>
    <hyperlink ref="V20"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baseColWidth="10" defaultColWidth="11.46484375" defaultRowHeight="12.75"/>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s>
  <sheetData>
    <row r="1" spans="2:31" ht="15">
      <c r="B1" s="1" t="s">
        <v>525</v>
      </c>
    </row>
    <row r="2" spans="2:31">
      <c r="C2" s="43"/>
      <c r="D2" s="43"/>
    </row>
    <row r="3" spans="2:31" ht="13.15">
      <c r="B3" t="s">
        <v>461</v>
      </c>
      <c r="C3" s="103">
        <v>3</v>
      </c>
      <c r="D3" s="3"/>
      <c r="M3" s="162" t="s">
        <v>219</v>
      </c>
      <c r="N3" s="162"/>
      <c r="O3" s="162"/>
    </row>
    <row r="4" spans="2:31" ht="13.15">
      <c r="B4" t="s">
        <v>526</v>
      </c>
      <c r="C4" s="103" t="s">
        <v>175</v>
      </c>
      <c r="D4" s="3"/>
    </row>
    <row r="6" spans="2:31" ht="13.15">
      <c r="C6" s="1324" t="s">
        <v>465</v>
      </c>
      <c r="D6" s="1325"/>
      <c r="E6" s="1324" t="s">
        <v>466</v>
      </c>
      <c r="F6" s="1328"/>
      <c r="G6" s="1324" t="s">
        <v>527</v>
      </c>
      <c r="H6" s="1325"/>
      <c r="I6" s="689" t="s">
        <v>464</v>
      </c>
      <c r="J6" s="704"/>
      <c r="K6" s="702" t="s">
        <v>464</v>
      </c>
      <c r="L6" s="658"/>
      <c r="M6" s="3"/>
      <c r="N6" s="3"/>
    </row>
    <row r="7" spans="2:31" ht="13.15">
      <c r="C7" s="1326"/>
      <c r="D7" s="1327"/>
      <c r="E7" s="1326"/>
      <c r="F7" s="1329"/>
      <c r="G7" s="1326"/>
      <c r="H7" s="1327"/>
      <c r="I7" s="691" t="s">
        <v>467</v>
      </c>
      <c r="J7" s="705"/>
      <c r="K7" s="703" t="s">
        <v>468</v>
      </c>
      <c r="L7" s="659"/>
      <c r="M7" s="3"/>
      <c r="N7" s="3"/>
    </row>
    <row r="8" spans="2:31" ht="12.75" customHeight="1">
      <c r="B8" s="57" t="s">
        <v>469</v>
      </c>
      <c r="C8" s="1288" t="str">
        <f>IF($C$3=0,"LAMINATED",IF(AND(D10="PASS",D11="PASS",D14="PASS",D15="PASS",D26="PASS",D18="PASS",D27="PASS",D28="pass"),"PASS","FAIL"))</f>
        <v>FAIL</v>
      </c>
      <c r="D8" s="1289"/>
      <c r="E8" s="1288" t="str">
        <f>IF($C$3=0,"LAMINATED",IF(AND(F10="PASS",F11="PASS",F12="PASS",F14="PASS",F15="PASS",F26="PASS",F18="PASS",F27="PASS",F28="pass"),"PASS","FAIL"))</f>
        <v>FAIL</v>
      </c>
      <c r="F8" s="1289"/>
      <c r="G8" s="1288" t="str">
        <f>IF($C$3=0,"LAMINATED",IF(AND(H10="PASS",H11="PASS",H14="PASS",H15="PASS",H26="PASS",H18="PASS",H27="PASS",H28="pass"),"PASS","FAIL"))</f>
        <v>FAIL</v>
      </c>
      <c r="H8" s="1289"/>
      <c r="I8" s="1275" t="str">
        <f>IF($C$3&lt;=3,"N/A",IF(AND(J10="PASS",J11="PASS",J14="PASS",J15="PASS",J26="PASS",J18="PASS",J27="PASS",J28="pass"),"PASS","FAIL"))</f>
        <v>N/A</v>
      </c>
      <c r="J8" s="1316"/>
      <c r="K8" s="1275" t="str">
        <f>IF($C$3&lt;=4,"N/A",IF(AND(L10="PASS",L11="PASS",L14="PASS",L15="PASS",L26="PASS",L18="PASS",L27="PASS",L28="pass"),"PASS","FAIL"))</f>
        <v>N/A</v>
      </c>
      <c r="L8" s="1316"/>
      <c r="M8" s="701"/>
      <c r="N8" s="701"/>
      <c r="O8" s="20"/>
      <c r="P8" s="20"/>
      <c r="Q8" s="20"/>
      <c r="R8" s="20"/>
      <c r="S8" s="20"/>
      <c r="T8" s="20"/>
      <c r="U8" s="20"/>
      <c r="V8" s="20"/>
      <c r="W8" s="20"/>
      <c r="X8" s="20"/>
      <c r="Y8" s="20"/>
      <c r="Z8" s="20"/>
      <c r="AA8" s="20"/>
      <c r="AB8" s="20"/>
      <c r="AC8" s="20"/>
      <c r="AD8" s="20"/>
      <c r="AE8" s="21"/>
    </row>
    <row r="9" spans="2:31" ht="12.75" customHeight="1">
      <c r="B9" s="4"/>
      <c r="C9" s="1319"/>
      <c r="D9" s="1320"/>
      <c r="E9" s="1319"/>
      <c r="F9" s="1320"/>
      <c r="G9" s="1319"/>
      <c r="H9" s="1320"/>
      <c r="I9" s="1319"/>
      <c r="J9" s="1320"/>
      <c r="K9" s="1277"/>
      <c r="L9" s="1323"/>
      <c r="M9" s="26"/>
      <c r="N9" s="26"/>
      <c r="O9" s="26"/>
      <c r="P9" s="26"/>
      <c r="Q9" s="26"/>
      <c r="R9" s="26"/>
      <c r="S9" s="26"/>
      <c r="T9" s="26"/>
      <c r="U9" s="26"/>
      <c r="V9" s="26"/>
      <c r="W9" s="26"/>
      <c r="X9" s="26"/>
      <c r="Y9" s="26"/>
      <c r="Z9" s="26"/>
      <c r="AA9" s="26"/>
      <c r="AB9" s="26"/>
      <c r="AC9" s="26"/>
      <c r="AD9" s="26"/>
      <c r="AE9" s="27"/>
    </row>
    <row r="10" spans="2:31" ht="12.75" customHeight="1">
      <c r="B10" s="58" t="s">
        <v>470</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471</v>
      </c>
      <c r="C11" s="75">
        <v>0</v>
      </c>
      <c r="D11" s="61" t="str">
        <f>IF(C11&gt;=2,"PASS","FAIL")</f>
        <v>FAIL</v>
      </c>
      <c r="E11" s="17">
        <v>0</v>
      </c>
      <c r="F11" s="382" t="str">
        <f>IF(E11&gt;=2,"PASS","FAIL")</f>
        <v>FAIL</v>
      </c>
      <c r="G11" s="17">
        <v>0</v>
      </c>
      <c r="H11" s="382" t="str">
        <f>IF(G11&gt;=2,"PASS","FAIL")</f>
        <v>FAIL</v>
      </c>
      <c r="I11" s="17">
        <v>0</v>
      </c>
      <c r="J11" s="382" t="str">
        <f>IF(I11&gt;=2,"PASS","FAIL")</f>
        <v>FAIL</v>
      </c>
      <c r="K11" s="17">
        <v>0</v>
      </c>
      <c r="L11" s="382"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62" t="s">
        <v>472</v>
      </c>
      <c r="C12" s="1321"/>
      <c r="D12" s="1322"/>
      <c r="E12" s="25"/>
      <c r="F12" s="60" t="str">
        <f>IF(OR(E12&gt;=50,E12=""),"FAIL","PASS")</f>
        <v>FAIL</v>
      </c>
      <c r="G12" s="1321"/>
      <c r="H12" s="1322"/>
      <c r="I12" s="1321"/>
      <c r="J12" s="1322"/>
      <c r="K12" s="1321"/>
      <c r="L12" s="1322"/>
      <c r="M12" s="26"/>
      <c r="N12" s="26"/>
      <c r="O12" s="26"/>
      <c r="P12" s="26"/>
      <c r="Q12" s="26"/>
      <c r="R12" s="26"/>
      <c r="S12" s="26"/>
      <c r="T12" s="26"/>
      <c r="U12" s="26"/>
      <c r="V12" s="26"/>
      <c r="W12" s="26"/>
      <c r="X12" s="26"/>
      <c r="Y12" s="26"/>
      <c r="Z12" s="26"/>
      <c r="AA12" s="26"/>
      <c r="AB12" s="26"/>
      <c r="AC12" s="26"/>
      <c r="AD12" s="26"/>
      <c r="AE12" s="27"/>
    </row>
    <row r="13" spans="2:31" ht="12.75" customHeight="1">
      <c r="B13" s="368"/>
      <c r="C13" s="1317"/>
      <c r="D13" s="1318"/>
      <c r="E13" s="1317"/>
      <c r="F13" s="1318"/>
      <c r="G13" s="1317"/>
      <c r="H13" s="1318"/>
      <c r="I13" s="1317"/>
      <c r="J13" s="1318"/>
      <c r="K13" s="1317"/>
      <c r="L13" s="1318"/>
      <c r="M13" s="26"/>
      <c r="N13" s="26"/>
      <c r="O13" s="26"/>
      <c r="P13" s="26"/>
      <c r="Q13" s="26"/>
      <c r="R13" s="26"/>
      <c r="S13" s="26"/>
      <c r="T13" s="26"/>
      <c r="U13" s="26"/>
      <c r="V13" s="26"/>
      <c r="W13" s="26"/>
      <c r="X13" s="26"/>
      <c r="Y13" s="26"/>
      <c r="Z13" s="26"/>
      <c r="AA13" s="26"/>
      <c r="AB13" s="26"/>
      <c r="AC13" s="26"/>
      <c r="AD13" s="26"/>
      <c r="AE13" s="27"/>
    </row>
    <row r="14" spans="2:31" ht="12.75" customHeight="1">
      <c r="B14" s="390" t="s">
        <v>473</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474</v>
      </c>
      <c r="C15" s="102">
        <v>0</v>
      </c>
      <c r="D15" s="61" t="str">
        <f>IF(C15&gt;=2,"PASS","FAIL")</f>
        <v>FAIL</v>
      </c>
      <c r="E15" s="102">
        <v>0</v>
      </c>
      <c r="F15" s="382" t="str">
        <f>IF(E15&gt;=2,"PASS","FAIL")</f>
        <v>FAIL</v>
      </c>
      <c r="G15" s="102">
        <v>0</v>
      </c>
      <c r="H15" s="382" t="str">
        <f>IF(G15&gt;=2,"PASS","FAIL")</f>
        <v>FAIL</v>
      </c>
      <c r="I15" s="102">
        <v>0</v>
      </c>
      <c r="J15" s="382" t="str">
        <f>IF(I15&gt;=2,"PASS","FAIL")</f>
        <v>FAIL</v>
      </c>
      <c r="K15" s="102">
        <v>0</v>
      </c>
      <c r="L15" s="382"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390" t="s">
        <v>475</v>
      </c>
      <c r="C16" s="102">
        <v>0</v>
      </c>
      <c r="D16" s="61"/>
      <c r="E16" s="102">
        <v>0</v>
      </c>
      <c r="F16" s="382"/>
      <c r="G16" s="102">
        <v>0</v>
      </c>
      <c r="H16" s="382"/>
      <c r="I16" s="102">
        <v>0</v>
      </c>
      <c r="J16" s="382"/>
      <c r="K16" s="102">
        <v>0</v>
      </c>
      <c r="L16" s="382"/>
      <c r="M16" s="26"/>
      <c r="N16" s="26"/>
      <c r="O16" s="26"/>
      <c r="P16" s="26"/>
      <c r="Q16" s="26"/>
      <c r="R16" s="26"/>
      <c r="S16" s="26"/>
      <c r="T16" s="26"/>
      <c r="U16" s="26"/>
      <c r="V16" s="26"/>
      <c r="W16" s="26"/>
      <c r="X16" s="26"/>
      <c r="Y16" s="26"/>
      <c r="Z16" s="26"/>
      <c r="AA16" s="26"/>
      <c r="AB16" s="26"/>
      <c r="AC16" s="26"/>
      <c r="AD16" s="26"/>
      <c r="AE16" s="27"/>
    </row>
    <row r="17" spans="2:31" ht="12.75" customHeight="1">
      <c r="B17" s="390" t="s">
        <v>476</v>
      </c>
      <c r="C17" s="102">
        <v>0</v>
      </c>
      <c r="D17" s="61"/>
      <c r="E17" s="102">
        <v>0</v>
      </c>
      <c r="F17" s="382"/>
      <c r="G17" s="102">
        <v>0</v>
      </c>
      <c r="H17" s="382"/>
      <c r="I17" s="102">
        <v>0</v>
      </c>
      <c r="J17" s="382"/>
      <c r="K17" s="102">
        <v>0</v>
      </c>
      <c r="L17" s="382"/>
      <c r="M17" s="26"/>
      <c r="N17" s="26"/>
      <c r="O17" s="26"/>
      <c r="P17" s="26"/>
      <c r="Q17" s="26"/>
      <c r="R17" s="26"/>
      <c r="S17" s="26"/>
      <c r="T17" s="26"/>
      <c r="U17" s="26"/>
      <c r="V17" s="26"/>
      <c r="W17" s="26"/>
      <c r="X17" s="26"/>
      <c r="Y17" s="26"/>
      <c r="Z17" s="26"/>
      <c r="AA17" s="26"/>
      <c r="AB17" s="26"/>
      <c r="AC17" s="26"/>
      <c r="AD17" s="26"/>
      <c r="AE17" s="27"/>
    </row>
    <row r="18" spans="2:31" ht="12.75" customHeight="1">
      <c r="B18" s="39" t="s">
        <v>477</v>
      </c>
      <c r="C18" s="17">
        <v>0</v>
      </c>
      <c r="D18" s="61" t="str">
        <f>IF(C18&gt;=2,"PASS","FAIL")</f>
        <v>FAIL</v>
      </c>
      <c r="E18" s="17">
        <v>0</v>
      </c>
      <c r="F18" s="382" t="str">
        <f>IF(E18&gt;=2,"PASS","FAIL")</f>
        <v>FAIL</v>
      </c>
      <c r="G18" s="17">
        <v>0</v>
      </c>
      <c r="H18" s="382" t="str">
        <f>IF(G18&gt;=2,"PASS","FAIL")</f>
        <v>FAIL</v>
      </c>
      <c r="I18" s="17">
        <v>0</v>
      </c>
      <c r="J18" s="382" t="str">
        <f>IF(I18&gt;=2,"PASS","FAIL")</f>
        <v>FAIL</v>
      </c>
      <c r="K18" s="17">
        <v>0</v>
      </c>
      <c r="L18" s="382"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478</v>
      </c>
      <c r="C19" s="17">
        <v>0</v>
      </c>
      <c r="D19" s="16"/>
      <c r="E19" s="17">
        <v>0</v>
      </c>
      <c r="F19" s="293"/>
      <c r="G19" s="17">
        <v>0</v>
      </c>
      <c r="H19" s="293"/>
      <c r="I19" s="17">
        <v>0</v>
      </c>
      <c r="J19" s="293"/>
      <c r="K19" s="17">
        <v>0</v>
      </c>
      <c r="L19" s="293"/>
      <c r="M19" s="26"/>
      <c r="N19" s="26"/>
      <c r="O19" s="26"/>
      <c r="P19" s="26"/>
      <c r="Q19" s="26"/>
      <c r="R19" s="26"/>
      <c r="S19" s="26"/>
      <c r="T19" s="26"/>
      <c r="U19" s="26"/>
      <c r="V19" s="26"/>
      <c r="W19" s="26"/>
      <c r="X19" s="26"/>
      <c r="Y19" s="26"/>
      <c r="Z19" s="26"/>
      <c r="AA19" s="26"/>
      <c r="AB19" s="26"/>
      <c r="AC19" s="26"/>
      <c r="AD19" s="26"/>
      <c r="AE19" s="27"/>
    </row>
    <row r="20" spans="2:31" ht="12.75" customHeight="1">
      <c r="B20" s="390" t="s">
        <v>479</v>
      </c>
      <c r="C20" s="99">
        <v>0</v>
      </c>
      <c r="D20" s="61"/>
      <c r="E20" s="102">
        <v>0</v>
      </c>
      <c r="F20" s="382"/>
      <c r="G20" s="102">
        <v>0</v>
      </c>
      <c r="H20" s="382"/>
      <c r="I20" s="102">
        <v>0</v>
      </c>
      <c r="J20" s="382"/>
      <c r="K20" s="102">
        <v>0</v>
      </c>
      <c r="L20" s="382"/>
      <c r="M20" s="318"/>
      <c r="N20" s="26"/>
      <c r="O20" s="26"/>
      <c r="P20" s="26"/>
      <c r="Q20" s="26"/>
      <c r="R20" s="26"/>
      <c r="S20" s="26"/>
      <c r="T20" s="26"/>
      <c r="U20" s="26"/>
      <c r="V20" s="26"/>
      <c r="W20" s="26"/>
      <c r="X20" s="26"/>
      <c r="Y20" s="26"/>
      <c r="Z20" s="26"/>
      <c r="AA20" s="26"/>
      <c r="AB20" s="26"/>
      <c r="AC20" s="26"/>
      <c r="AD20" s="26"/>
      <c r="AE20" s="27"/>
    </row>
    <row r="21" spans="2:31" ht="12.75" customHeight="1">
      <c r="B21" s="390" t="s">
        <v>480</v>
      </c>
      <c r="C21" s="363" t="s">
        <v>178</v>
      </c>
      <c r="D21" s="382"/>
      <c r="E21" s="363" t="s">
        <v>178</v>
      </c>
      <c r="F21" s="382"/>
      <c r="G21" s="363" t="s">
        <v>178</v>
      </c>
      <c r="H21" s="382"/>
      <c r="I21" s="363" t="s">
        <v>178</v>
      </c>
      <c r="J21" s="382"/>
      <c r="K21" s="363" t="s">
        <v>178</v>
      </c>
      <c r="L21" s="382"/>
      <c r="M21" s="392" t="s">
        <v>481</v>
      </c>
      <c r="N21" s="26"/>
      <c r="O21" s="26"/>
      <c r="P21" s="26"/>
      <c r="Q21" s="26"/>
      <c r="R21" s="26"/>
      <c r="S21" s="26"/>
      <c r="T21" s="26"/>
      <c r="U21" s="26"/>
      <c r="V21" s="26"/>
      <c r="W21" s="26"/>
      <c r="X21" s="26"/>
      <c r="Y21" s="26"/>
      <c r="Z21" s="26"/>
      <c r="AA21" s="26"/>
      <c r="AB21" s="26"/>
      <c r="AC21" s="26"/>
      <c r="AD21" s="26"/>
      <c r="AE21" s="27"/>
    </row>
    <row r="22" spans="2:31" ht="12.75" customHeight="1">
      <c r="B22" s="390" t="s">
        <v>482</v>
      </c>
      <c r="C22" s="205" t="str">
        <f>HLOOKUP(C21,MaterialData!$C$3:$O$4,2,FALSE)</f>
        <v>T3.5_Laminate</v>
      </c>
      <c r="D22" s="382"/>
      <c r="E22" s="205" t="str">
        <f>HLOOKUP(E21,MaterialData!$C$3:$O$4,2,FALSE)</f>
        <v>T3.5_Laminate</v>
      </c>
      <c r="F22" s="382"/>
      <c r="G22" s="205" t="str">
        <f>HLOOKUP(G21,MaterialData!$C$3:$O$4,2,FALSE)</f>
        <v>T3.5_Laminate</v>
      </c>
      <c r="H22" s="382"/>
      <c r="I22" s="205" t="str">
        <f>HLOOKUP(I21,MaterialData!$C$3:$O$4,2,FALSE)</f>
        <v>T3.5_Laminate</v>
      </c>
      <c r="J22" s="382"/>
      <c r="K22" s="205" t="str">
        <f>HLOOKUP(K21,MaterialData!$C$3:$O$4,2,FALSE)</f>
        <v>T3.5_Laminate</v>
      </c>
      <c r="L22" s="382"/>
      <c r="M22" s="392"/>
      <c r="N22" s="26"/>
      <c r="O22" s="26"/>
      <c r="P22" s="26"/>
      <c r="Q22" s="26"/>
      <c r="R22" s="26"/>
      <c r="S22" s="26"/>
      <c r="T22" s="26"/>
      <c r="U22" s="26"/>
      <c r="V22" s="26"/>
      <c r="W22" s="26"/>
      <c r="X22" s="26"/>
      <c r="Y22" s="26"/>
      <c r="Z22" s="26"/>
      <c r="AA22" s="26"/>
      <c r="AB22" s="26"/>
      <c r="AC22" s="26"/>
      <c r="AD22" s="26"/>
      <c r="AE22" s="27"/>
    </row>
    <row r="23" spans="2:31" ht="12.75" customHeight="1">
      <c r="B23" s="390" t="s">
        <v>483</v>
      </c>
      <c r="C23" s="391">
        <f>'T3.5.9 Shear Tests'!$W$54</f>
        <v>0</v>
      </c>
      <c r="D23" s="61"/>
      <c r="E23" s="391">
        <f>'T3.5.9 Shear Tests'!$W$54</f>
        <v>0</v>
      </c>
      <c r="F23" s="382"/>
      <c r="G23" s="391">
        <f>'T3.5.9 Shear Tests'!$W$54</f>
        <v>0</v>
      </c>
      <c r="H23" s="382"/>
      <c r="I23" s="391">
        <f>'T3.5.9 Shear Tests'!$W$54</f>
        <v>0</v>
      </c>
      <c r="J23" s="382"/>
      <c r="K23" s="391">
        <f>'T3.5.9 Shear Tests'!$W$54</f>
        <v>0</v>
      </c>
      <c r="L23" s="382"/>
      <c r="M23" s="392" t="s">
        <v>484</v>
      </c>
      <c r="N23" s="26"/>
      <c r="O23" s="26"/>
      <c r="P23" s="26"/>
      <c r="Q23" s="26"/>
      <c r="R23" s="26"/>
      <c r="S23" s="26"/>
      <c r="T23" s="26"/>
      <c r="U23" s="26"/>
      <c r="V23" s="26"/>
      <c r="W23" s="26"/>
      <c r="X23" s="26"/>
      <c r="Y23" s="26"/>
      <c r="Z23" s="26"/>
      <c r="AA23" s="26"/>
      <c r="AB23" s="26"/>
      <c r="AC23" s="26"/>
      <c r="AD23" s="26"/>
      <c r="AE23" s="27"/>
    </row>
    <row r="24" spans="2:31" ht="12.75" customHeight="1">
      <c r="B24" s="390" t="s">
        <v>485</v>
      </c>
      <c r="C24" s="796">
        <v>1</v>
      </c>
      <c r="D24" s="843" t="str">
        <f>IF(C24&lt;0.4*C25,"FAIL, see T3.4.4","")</f>
        <v/>
      </c>
      <c r="E24" s="796">
        <v>1</v>
      </c>
      <c r="F24" s="843" t="str">
        <f>IF(E24&lt;0.4*E25,"FAIL, see T3.4.4","")</f>
        <v/>
      </c>
      <c r="G24" s="796">
        <v>1</v>
      </c>
      <c r="H24" s="843" t="str">
        <f>IF(G24&lt;0.4*G25,"FAIL, see T3.4.4","")</f>
        <v/>
      </c>
      <c r="I24" s="796">
        <v>1</v>
      </c>
      <c r="J24" s="843" t="str">
        <f>IF(I24&lt;0.4*I25,"FAIL, see T3.4.4","")</f>
        <v/>
      </c>
      <c r="K24" s="796">
        <v>1</v>
      </c>
      <c r="L24" s="839" t="str">
        <f>IF(K24&lt;0.4*K25,"FAIL, see T3.4.4","")</f>
        <v/>
      </c>
      <c r="M24" s="392" t="s">
        <v>486</v>
      </c>
      <c r="N24" s="26"/>
      <c r="O24" s="26"/>
      <c r="P24" s="26"/>
      <c r="Q24" s="26"/>
      <c r="R24" s="26"/>
      <c r="S24" s="26"/>
      <c r="T24" s="26"/>
      <c r="U24" s="26"/>
      <c r="V24" s="26"/>
      <c r="W24" s="26"/>
      <c r="X24" s="26"/>
      <c r="Y24" s="26"/>
      <c r="Z24" s="26"/>
      <c r="AA24" s="26"/>
      <c r="AB24" s="26"/>
      <c r="AC24" s="26"/>
      <c r="AD24" s="26"/>
      <c r="AE24" s="27"/>
    </row>
    <row r="25" spans="2:31" ht="12.75" customHeight="1">
      <c r="B25" s="390" t="s">
        <v>485</v>
      </c>
      <c r="C25" s="796">
        <v>1</v>
      </c>
      <c r="D25" s="843" t="str">
        <f>IF(C25&lt;0.4*C24,"FAIL, see T3.4.4","")</f>
        <v/>
      </c>
      <c r="E25" s="796">
        <v>1</v>
      </c>
      <c r="F25" s="843" t="str">
        <f>IF(E25&lt;0.4*E24,"FAIL, see T3.4.4","")</f>
        <v/>
      </c>
      <c r="G25" s="796">
        <v>1</v>
      </c>
      <c r="H25" s="843" t="str">
        <f>IF(G25&lt;0.4*G24,"FAIL, see T3.4.4","")</f>
        <v/>
      </c>
      <c r="I25" s="796">
        <v>1</v>
      </c>
      <c r="J25" s="843" t="str">
        <f>IF(I25&lt;0.4*I24,"FAIL, see T3.4.4","")</f>
        <v/>
      </c>
      <c r="K25" s="796">
        <v>1</v>
      </c>
      <c r="L25" s="839" t="str">
        <f>IF(K25&lt;0.4*K24,"FAIL, see T3.4.4","")</f>
        <v/>
      </c>
      <c r="M25" s="392" t="s">
        <v>486</v>
      </c>
      <c r="N25" s="26"/>
      <c r="O25" s="26"/>
      <c r="P25" s="26"/>
      <c r="Q25" s="26"/>
      <c r="R25" s="26"/>
      <c r="S25" s="26"/>
      <c r="T25" s="26"/>
      <c r="U25" s="26"/>
      <c r="V25" s="26"/>
      <c r="W25" s="26"/>
      <c r="X25" s="26"/>
      <c r="Y25" s="26"/>
      <c r="Z25" s="26"/>
      <c r="AA25" s="26"/>
      <c r="AB25" s="26"/>
      <c r="AC25" s="26"/>
      <c r="AD25" s="26"/>
      <c r="AE25" s="27"/>
    </row>
    <row r="26" spans="2:31" ht="12.75" customHeight="1">
      <c r="B26" s="390" t="s">
        <v>487</v>
      </c>
      <c r="C26" s="205">
        <f>((C16*C24)+(C17*C25))*C23*0.001</f>
        <v>0</v>
      </c>
      <c r="D26" s="61" t="str">
        <f>IF(C26&gt;=30,"PASS","FAIL")</f>
        <v>FAIL</v>
      </c>
      <c r="E26" s="205">
        <f>((E16*E24)+(E17*E25))*E23*0.001</f>
        <v>0</v>
      </c>
      <c r="F26" s="382" t="str">
        <f>IF(E26&gt;=30,"PASS","FAIL")</f>
        <v>FAIL</v>
      </c>
      <c r="G26" s="205">
        <f>((G16*G24)+(G17*G25))*G23*0.001</f>
        <v>0</v>
      </c>
      <c r="H26" s="382" t="str">
        <f>IF(G26&gt;=30,"PASS","FAIL")</f>
        <v>FAIL</v>
      </c>
      <c r="I26" s="205">
        <f>((I16*I24)+(I17*I25))*I23*0.001</f>
        <v>0</v>
      </c>
      <c r="J26" s="382" t="str">
        <f>IF(I26&gt;=30,"PASS","FAIL")</f>
        <v>FAIL</v>
      </c>
      <c r="K26" s="205">
        <f>((K16*K24)+(K17*K25))*K23*0.001</f>
        <v>0</v>
      </c>
      <c r="L26" s="382"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487</v>
      </c>
      <c r="C27" s="205">
        <f>((C24*C17)+(C25*C19))*C23*0.001</f>
        <v>0</v>
      </c>
      <c r="D27" s="61" t="str">
        <f>IF(C27&gt;=30,"PASS","FAIL")</f>
        <v>FAIL</v>
      </c>
      <c r="E27" s="205">
        <f>((E24*E17)+(E25*E19))*E23*0.001</f>
        <v>0</v>
      </c>
      <c r="F27" s="382" t="str">
        <f>IF(E27&gt;=30,"PASS","FAIL")</f>
        <v>FAIL</v>
      </c>
      <c r="G27" s="205">
        <f>((G24*G17)+(G25*G19))*G23*0.001</f>
        <v>0</v>
      </c>
      <c r="H27" s="382" t="str">
        <f>IF(G27&gt;=30,"PASS","FAIL")</f>
        <v>FAIL</v>
      </c>
      <c r="I27" s="205">
        <f>((I24*I17)+(I25*I19))*I23*0.001</f>
        <v>0</v>
      </c>
      <c r="J27" s="382" t="str">
        <f>IF(I27&gt;=30,"PASS","FAIL")</f>
        <v>FAIL</v>
      </c>
      <c r="K27" s="205">
        <f>((K24*K17)+(K25*K19))*K23*0.001</f>
        <v>0</v>
      </c>
      <c r="L27" s="382"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488</v>
      </c>
      <c r="C28" s="693">
        <f>C23*2*C20*(C24+C25)*0.001</f>
        <v>0</v>
      </c>
      <c r="D28" s="60" t="str">
        <f>IF(C28&gt;=30,"PASS","FAIL")</f>
        <v>FAIL</v>
      </c>
      <c r="E28" s="693">
        <f>E23*2*E20*(E24+E25)*0.001</f>
        <v>0</v>
      </c>
      <c r="F28" s="59" t="str">
        <f>IF(E28&gt;=30,"PASS","FAIL")</f>
        <v>FAIL</v>
      </c>
      <c r="G28" s="693">
        <f>G23*2*G20*(G24+G25)*0.001</f>
        <v>0</v>
      </c>
      <c r="H28" s="59" t="str">
        <f>IF(G28&gt;=30,"PASS","FAIL")</f>
        <v>FAIL</v>
      </c>
      <c r="I28" s="693">
        <f>I23*2*I20*(I24+I25)*0.001</f>
        <v>0</v>
      </c>
      <c r="J28" s="59" t="str">
        <f>IF(I28&gt;=30,"PASS","FAIL")</f>
        <v>FAIL</v>
      </c>
      <c r="K28" s="693">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279" t="s">
        <v>528</v>
      </c>
      <c r="C29" s="1280"/>
      <c r="D29" s="1280"/>
      <c r="E29" s="1280"/>
      <c r="F29" s="1280"/>
      <c r="G29" s="1280"/>
      <c r="H29" s="1280"/>
      <c r="I29" s="1280"/>
      <c r="J29" s="1280"/>
      <c r="K29" s="1280"/>
      <c r="L29" s="1281"/>
      <c r="M29" s="26"/>
      <c r="N29" s="26"/>
      <c r="O29" s="26"/>
      <c r="P29" s="26"/>
      <c r="Q29" s="26"/>
      <c r="R29" s="26"/>
      <c r="S29" s="26"/>
      <c r="T29" s="26"/>
      <c r="U29" s="26"/>
      <c r="V29" s="26"/>
      <c r="W29" s="26"/>
      <c r="X29" s="26"/>
      <c r="Y29" s="26"/>
      <c r="Z29" s="26"/>
      <c r="AA29" s="26"/>
      <c r="AB29" s="26"/>
      <c r="AC29" s="26"/>
      <c r="AD29" s="26"/>
      <c r="AE29" s="27"/>
    </row>
    <row r="30" spans="2:31">
      <c r="B30" s="1282"/>
      <c r="C30" s="1283"/>
      <c r="D30" s="1283"/>
      <c r="E30" s="1283"/>
      <c r="F30" s="1283"/>
      <c r="G30" s="1283"/>
      <c r="H30" s="1283"/>
      <c r="I30" s="1283"/>
      <c r="J30" s="1283"/>
      <c r="K30" s="1283"/>
      <c r="L30" s="1284"/>
      <c r="M30" s="26"/>
      <c r="N30" s="26"/>
      <c r="O30" s="26"/>
      <c r="P30" s="26"/>
      <c r="Q30" s="26"/>
      <c r="R30" s="26"/>
      <c r="S30" s="26"/>
      <c r="T30" s="26"/>
      <c r="U30" s="26"/>
      <c r="V30" s="26"/>
      <c r="W30" s="26"/>
      <c r="X30" s="26"/>
      <c r="Y30" s="26"/>
      <c r="Z30" s="26"/>
      <c r="AA30" s="26"/>
      <c r="AB30" s="26"/>
      <c r="AC30" s="26"/>
      <c r="AD30" s="26"/>
      <c r="AE30" s="27"/>
    </row>
    <row r="31" spans="2:31">
      <c r="B31" s="1285"/>
      <c r="C31" s="1286"/>
      <c r="D31" s="1286"/>
      <c r="E31" s="1286"/>
      <c r="F31" s="1286"/>
      <c r="G31" s="1286"/>
      <c r="H31" s="1286"/>
      <c r="I31" s="1286"/>
      <c r="J31" s="1286"/>
      <c r="K31" s="1286"/>
      <c r="L31" s="1287"/>
      <c r="M31" s="26"/>
      <c r="N31" s="26"/>
      <c r="O31" s="26"/>
      <c r="P31" s="26"/>
      <c r="Q31" s="26"/>
      <c r="R31" s="26"/>
      <c r="S31" s="26"/>
      <c r="T31" s="26"/>
      <c r="U31" s="26"/>
      <c r="V31" s="26"/>
      <c r="W31" s="26"/>
      <c r="X31" s="26"/>
      <c r="Y31" s="26"/>
      <c r="Z31" s="26"/>
      <c r="AA31" s="26"/>
      <c r="AB31" s="26"/>
      <c r="AC31" s="26"/>
      <c r="AD31" s="26"/>
      <c r="AE31" s="27"/>
    </row>
    <row r="32" spans="2:31" s="104" customFormat="1">
      <c r="B32" s="1282" t="s">
        <v>529</v>
      </c>
      <c r="C32" s="1283"/>
      <c r="D32" s="1283"/>
      <c r="E32" s="1283"/>
      <c r="F32" s="1283"/>
      <c r="G32" s="1283"/>
      <c r="H32" s="1283"/>
      <c r="I32" s="1283"/>
      <c r="J32" s="1283"/>
      <c r="K32" s="1283"/>
      <c r="L32" s="1284"/>
      <c r="M32" s="26"/>
      <c r="N32" s="26"/>
      <c r="O32" s="26"/>
      <c r="P32" s="26"/>
      <c r="Q32" s="26"/>
      <c r="R32" s="26"/>
      <c r="S32" s="26"/>
      <c r="T32" s="26"/>
      <c r="U32" s="26"/>
      <c r="V32" s="26"/>
      <c r="W32" s="26"/>
      <c r="X32" s="26"/>
      <c r="Y32" s="26"/>
      <c r="Z32" s="26"/>
      <c r="AA32" s="26"/>
      <c r="AB32" s="26"/>
      <c r="AC32" s="26"/>
      <c r="AD32" s="26"/>
      <c r="AE32" s="27"/>
    </row>
    <row r="33" spans="2:31" s="104" customFormat="1">
      <c r="B33" s="1285"/>
      <c r="C33" s="1286"/>
      <c r="D33" s="1286"/>
      <c r="E33" s="1286"/>
      <c r="F33" s="1286"/>
      <c r="G33" s="1286"/>
      <c r="H33" s="1286"/>
      <c r="I33" s="1286"/>
      <c r="J33" s="1286"/>
      <c r="K33" s="1286"/>
      <c r="L33" s="1287"/>
      <c r="M33" s="26"/>
      <c r="N33" s="26"/>
      <c r="O33" s="26"/>
      <c r="P33" s="26"/>
      <c r="Q33" s="26"/>
      <c r="R33" s="26"/>
      <c r="S33" s="26"/>
      <c r="T33" s="26"/>
      <c r="U33" s="26"/>
      <c r="V33" s="26"/>
      <c r="W33" s="26"/>
      <c r="X33" s="26"/>
      <c r="Y33" s="26"/>
      <c r="Z33" s="26"/>
      <c r="AA33" s="26"/>
      <c r="AB33" s="26"/>
      <c r="AC33" s="26"/>
      <c r="AD33" s="26"/>
      <c r="AE33" s="27"/>
    </row>
    <row r="34" spans="2:31" s="104" customFormat="1" ht="13.15">
      <c r="B34" s="248" t="s">
        <v>490</v>
      </c>
      <c r="C34" s="694"/>
      <c r="D34" s="694"/>
      <c r="E34" s="694"/>
      <c r="F34" s="694"/>
      <c r="G34" s="694"/>
      <c r="H34" s="694"/>
      <c r="I34" s="694"/>
      <c r="J34" s="694"/>
      <c r="K34" s="694"/>
      <c r="L34" s="694"/>
      <c r="M34" s="26"/>
      <c r="N34" s="26"/>
      <c r="O34" s="26"/>
      <c r="P34" s="26"/>
      <c r="Q34" s="26"/>
      <c r="R34" s="26"/>
      <c r="S34" s="26"/>
      <c r="T34" s="26"/>
      <c r="U34" s="26"/>
      <c r="V34" s="26"/>
      <c r="W34" s="26"/>
      <c r="X34" s="26"/>
      <c r="Y34" s="26"/>
      <c r="Z34" s="26"/>
      <c r="AA34" s="26"/>
      <c r="AB34" s="26"/>
      <c r="AC34" s="26"/>
      <c r="AD34" s="26"/>
      <c r="AE34" s="27"/>
    </row>
    <row r="35" spans="2:31" s="104" customFormat="1" ht="13.15">
      <c r="B35" s="332" t="s">
        <v>530</v>
      </c>
      <c r="C35" s="694"/>
      <c r="D35" s="694"/>
      <c r="E35" s="694"/>
      <c r="F35" s="694"/>
      <c r="G35" s="694"/>
      <c r="H35" s="694"/>
      <c r="I35" s="694"/>
      <c r="J35" s="694"/>
      <c r="K35" s="694"/>
      <c r="L35" s="694"/>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48"/>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2"/>
      <c r="C38" s="26"/>
      <c r="D38" s="26"/>
      <c r="E38" s="26"/>
      <c r="F38" s="26"/>
      <c r="G38" s="26"/>
      <c r="H38" s="26"/>
      <c r="I38" s="26"/>
      <c r="J38" s="26"/>
      <c r="K38" s="26"/>
      <c r="L38" s="26"/>
      <c r="M38" s="26"/>
      <c r="N38" s="687"/>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724"/>
      <c r="C40" s="318"/>
      <c r="D40" s="318"/>
      <c r="E40" s="318"/>
      <c r="F40" s="318"/>
      <c r="G40" s="318"/>
      <c r="H40" s="318"/>
      <c r="I40" s="318"/>
      <c r="J40" s="318"/>
      <c r="K40" s="318"/>
      <c r="L40" s="318"/>
      <c r="M40" s="318"/>
      <c r="N40" s="318"/>
      <c r="O40" s="318"/>
      <c r="P40" s="318"/>
      <c r="Q40" s="318"/>
      <c r="R40" s="318"/>
      <c r="S40" s="318"/>
      <c r="T40" s="318"/>
      <c r="U40" s="318"/>
      <c r="V40" s="318"/>
      <c r="W40" s="318"/>
      <c r="X40" s="318"/>
      <c r="Y40" s="318"/>
      <c r="Z40" s="318"/>
      <c r="AA40" s="318"/>
      <c r="AB40" s="318"/>
      <c r="AC40" s="318"/>
      <c r="AD40" s="318"/>
      <c r="AE40" s="643"/>
    </row>
    <row r="41" spans="2:31" s="104" customFormat="1">
      <c r="B41" s="724"/>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643"/>
    </row>
    <row r="42" spans="2:31" s="104" customFormat="1">
      <c r="B42" s="724"/>
      <c r="C42" s="318"/>
      <c r="D42" s="318"/>
      <c r="E42" s="318"/>
      <c r="F42" s="318"/>
      <c r="G42" s="318"/>
      <c r="H42" s="318"/>
      <c r="I42" s="318"/>
      <c r="J42" s="318"/>
      <c r="K42" s="318"/>
      <c r="L42" s="318"/>
      <c r="M42" s="318"/>
      <c r="N42" s="318"/>
      <c r="O42" s="318"/>
      <c r="P42" s="318"/>
      <c r="Q42" s="318"/>
      <c r="R42" s="318"/>
      <c r="S42" s="318"/>
      <c r="T42" s="318"/>
      <c r="U42" s="318"/>
      <c r="V42" s="318"/>
      <c r="W42" s="318"/>
      <c r="X42" s="318"/>
      <c r="Y42" s="318"/>
      <c r="Z42" s="318"/>
      <c r="AA42" s="318"/>
      <c r="AB42" s="318"/>
      <c r="AC42" s="318"/>
      <c r="AD42" s="318"/>
      <c r="AE42" s="643"/>
    </row>
    <row r="43" spans="2:31" s="104" customFormat="1">
      <c r="B43" s="724"/>
      <c r="C43" s="318"/>
      <c r="D43" s="318"/>
      <c r="E43" s="318"/>
      <c r="F43" s="318"/>
      <c r="G43" s="318"/>
      <c r="H43" s="318"/>
      <c r="I43" s="318"/>
      <c r="J43" s="318"/>
      <c r="K43" s="318"/>
      <c r="L43" s="318"/>
      <c r="M43" s="318"/>
      <c r="N43" s="318"/>
      <c r="O43" s="318"/>
      <c r="P43" s="318"/>
      <c r="Q43" s="318"/>
      <c r="R43" s="318"/>
      <c r="S43" s="318"/>
      <c r="T43" s="318"/>
      <c r="U43" s="318"/>
      <c r="V43" s="318"/>
      <c r="W43" s="318"/>
      <c r="X43" s="318"/>
      <c r="Y43" s="318"/>
      <c r="Z43" s="318"/>
      <c r="AA43" s="318"/>
      <c r="AB43" s="318"/>
      <c r="AC43" s="318"/>
      <c r="AD43" s="318"/>
      <c r="AE43" s="643"/>
    </row>
    <row r="44" spans="2:31" s="104" customFormat="1">
      <c r="B44" s="724"/>
      <c r="C44" s="318"/>
      <c r="D44" s="318"/>
      <c r="E44" s="318"/>
      <c r="F44" s="318"/>
      <c r="G44" s="318"/>
      <c r="H44" s="318"/>
      <c r="I44" s="318"/>
      <c r="J44" s="318"/>
      <c r="K44" s="318"/>
      <c r="L44" s="318"/>
      <c r="M44" s="318"/>
      <c r="N44" s="318"/>
      <c r="O44" s="318"/>
      <c r="P44" s="318"/>
      <c r="Q44" s="318"/>
      <c r="R44" s="318"/>
      <c r="S44" s="318"/>
      <c r="T44" s="318"/>
      <c r="U44" s="318"/>
      <c r="V44" s="318"/>
      <c r="W44" s="318"/>
      <c r="X44" s="318"/>
      <c r="Y44" s="318"/>
      <c r="Z44" s="318"/>
      <c r="AA44" s="318"/>
      <c r="AB44" s="318"/>
      <c r="AC44" s="318"/>
      <c r="AD44" s="318"/>
      <c r="AE44" s="643"/>
    </row>
    <row r="45" spans="2:31" s="104" customFormat="1">
      <c r="B45" s="724"/>
      <c r="C45" s="318"/>
      <c r="D45" s="318"/>
      <c r="E45" s="318"/>
      <c r="F45" s="318"/>
      <c r="G45" s="318"/>
      <c r="H45" s="318"/>
      <c r="I45" s="318"/>
      <c r="J45" s="318"/>
      <c r="K45" s="318"/>
      <c r="L45" s="318"/>
      <c r="M45" s="318"/>
      <c r="N45" s="318"/>
      <c r="O45" s="318"/>
      <c r="P45" s="318"/>
      <c r="Q45" s="318"/>
      <c r="R45" s="318"/>
      <c r="S45" s="318"/>
      <c r="T45" s="318"/>
      <c r="U45" s="318"/>
      <c r="V45" s="318"/>
      <c r="W45" s="318"/>
      <c r="X45" s="318"/>
      <c r="Y45" s="318"/>
      <c r="Z45" s="318"/>
      <c r="AA45" s="318"/>
      <c r="AB45" s="318"/>
      <c r="AC45" s="318"/>
      <c r="AD45" s="318"/>
      <c r="AE45" s="643"/>
    </row>
    <row r="46" spans="2:31" s="104" customFormat="1">
      <c r="B46" s="724"/>
      <c r="C46" s="318"/>
      <c r="D46" s="318"/>
      <c r="E46" s="318"/>
      <c r="F46" s="318"/>
      <c r="G46" s="318"/>
      <c r="H46" s="318"/>
      <c r="I46" s="318"/>
      <c r="J46" s="318"/>
      <c r="K46" s="318"/>
      <c r="L46" s="318"/>
      <c r="M46" s="318"/>
      <c r="N46" s="318"/>
      <c r="O46" s="318"/>
      <c r="P46" s="318"/>
      <c r="Q46" s="318"/>
      <c r="R46" s="318"/>
      <c r="S46" s="318"/>
      <c r="T46" s="318"/>
      <c r="U46" s="318"/>
      <c r="V46" s="318"/>
      <c r="W46" s="318"/>
      <c r="X46" s="318"/>
      <c r="Y46" s="318"/>
      <c r="Z46" s="318"/>
      <c r="AA46" s="318"/>
      <c r="AB46" s="318"/>
      <c r="AC46" s="318"/>
      <c r="AD46" s="318"/>
      <c r="AE46" s="643"/>
    </row>
    <row r="47" spans="2:31" s="104" customFormat="1">
      <c r="B47" s="724"/>
      <c r="C47" s="318"/>
      <c r="D47" s="318"/>
      <c r="E47" s="318"/>
      <c r="F47" s="318"/>
      <c r="G47" s="318"/>
      <c r="H47" s="318"/>
      <c r="I47" s="318"/>
      <c r="J47" s="318"/>
      <c r="K47" s="318"/>
      <c r="L47" s="318"/>
      <c r="M47" s="318"/>
      <c r="N47" s="318"/>
      <c r="O47" s="318"/>
      <c r="P47" s="318"/>
      <c r="Q47" s="318"/>
      <c r="R47" s="318"/>
      <c r="S47" s="318"/>
      <c r="T47" s="318"/>
      <c r="U47" s="318"/>
      <c r="V47" s="318"/>
      <c r="W47" s="318"/>
      <c r="X47" s="318"/>
      <c r="Y47" s="318"/>
      <c r="Z47" s="318"/>
      <c r="AA47" s="318"/>
      <c r="AB47" s="318"/>
      <c r="AC47" s="318"/>
      <c r="AD47" s="318"/>
      <c r="AE47" s="643"/>
    </row>
    <row r="48" spans="2:31" s="104" customFormat="1">
      <c r="B48" s="724"/>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8"/>
      <c r="AA48" s="318"/>
      <c r="AB48" s="318"/>
      <c r="AC48" s="318"/>
      <c r="AD48" s="318"/>
      <c r="AE48" s="643"/>
    </row>
    <row r="49" spans="2:31" s="104" customFormat="1">
      <c r="B49" s="724"/>
      <c r="C49" s="318"/>
      <c r="D49" s="318"/>
      <c r="E49" s="318"/>
      <c r="F49" s="318"/>
      <c r="G49" s="318"/>
      <c r="H49" s="318"/>
      <c r="I49" s="318"/>
      <c r="J49" s="318"/>
      <c r="K49" s="318"/>
      <c r="L49" s="318"/>
      <c r="M49" s="318"/>
      <c r="N49" s="318"/>
      <c r="O49" s="318"/>
      <c r="P49" s="318"/>
      <c r="Q49" s="318"/>
      <c r="R49" s="318"/>
      <c r="S49" s="318"/>
      <c r="T49" s="318"/>
      <c r="U49" s="318"/>
      <c r="V49" s="318"/>
      <c r="W49" s="318"/>
      <c r="X49" s="318"/>
      <c r="Y49" s="318"/>
      <c r="Z49" s="318"/>
      <c r="AA49" s="318"/>
      <c r="AB49" s="318"/>
      <c r="AC49" s="318"/>
      <c r="AD49" s="318"/>
      <c r="AE49" s="643"/>
    </row>
    <row r="50" spans="2:31" s="104" customFormat="1">
      <c r="B50" s="724"/>
      <c r="C50" s="318"/>
      <c r="D50" s="318"/>
      <c r="E50" s="318"/>
      <c r="F50" s="318"/>
      <c r="G50" s="318"/>
      <c r="H50" s="318"/>
      <c r="I50" s="318"/>
      <c r="J50" s="318"/>
      <c r="K50" s="318"/>
      <c r="L50" s="318"/>
      <c r="M50" s="318"/>
      <c r="N50" s="318"/>
      <c r="O50" s="318"/>
      <c r="P50" s="318"/>
      <c r="Q50" s="318"/>
      <c r="R50" s="318"/>
      <c r="S50" s="318"/>
      <c r="T50" s="318"/>
      <c r="U50" s="318"/>
      <c r="V50" s="318"/>
      <c r="W50" s="318"/>
      <c r="X50" s="318"/>
      <c r="Y50" s="318"/>
      <c r="Z50" s="318"/>
      <c r="AA50" s="318"/>
      <c r="AB50" s="318"/>
      <c r="AC50" s="318"/>
      <c r="AD50" s="318"/>
      <c r="AE50" s="643"/>
    </row>
    <row r="51" spans="2:31" s="104" customFormat="1">
      <c r="B51" s="724"/>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c r="AA51" s="318"/>
      <c r="AB51" s="318"/>
      <c r="AC51" s="318"/>
      <c r="AD51" s="318"/>
      <c r="AE51" s="643"/>
    </row>
    <row r="52" spans="2:31" s="104" customFormat="1">
      <c r="B52" s="724"/>
      <c r="C52" s="318"/>
      <c r="D52" s="318"/>
      <c r="E52" s="318"/>
      <c r="F52" s="318"/>
      <c r="G52" s="318"/>
      <c r="H52" s="318"/>
      <c r="I52" s="318"/>
      <c r="J52" s="318"/>
      <c r="K52" s="318"/>
      <c r="L52" s="318"/>
      <c r="M52" s="318"/>
      <c r="N52" s="318"/>
      <c r="O52" s="318"/>
      <c r="P52" s="318"/>
      <c r="Q52" s="318"/>
      <c r="R52" s="318"/>
      <c r="S52" s="318"/>
      <c r="T52" s="318"/>
      <c r="U52" s="318"/>
      <c r="V52" s="318"/>
      <c r="W52" s="318"/>
      <c r="X52" s="318"/>
      <c r="Y52" s="318"/>
      <c r="Z52" s="318"/>
      <c r="AA52" s="318"/>
      <c r="AB52" s="318"/>
      <c r="AC52" s="318"/>
      <c r="AD52" s="318"/>
      <c r="AE52" s="643"/>
    </row>
    <row r="53" spans="2:31" s="104" customFormat="1">
      <c r="B53" s="724"/>
      <c r="C53" s="318"/>
      <c r="D53" s="318"/>
      <c r="E53" s="318"/>
      <c r="F53" s="318"/>
      <c r="G53" s="318"/>
      <c r="H53" s="318"/>
      <c r="I53" s="318"/>
      <c r="J53" s="318"/>
      <c r="K53" s="318"/>
      <c r="L53" s="318"/>
      <c r="M53" s="318"/>
      <c r="N53" s="318"/>
      <c r="O53" s="318"/>
      <c r="P53" s="318"/>
      <c r="Q53" s="318"/>
      <c r="R53" s="318"/>
      <c r="S53" s="318"/>
      <c r="T53" s="318"/>
      <c r="U53" s="318"/>
      <c r="V53" s="318"/>
      <c r="W53" s="318"/>
      <c r="X53" s="318"/>
      <c r="Y53" s="318"/>
      <c r="Z53" s="318"/>
      <c r="AA53" s="318"/>
      <c r="AB53" s="318"/>
      <c r="AC53" s="318"/>
      <c r="AD53" s="318"/>
      <c r="AE53" s="643"/>
    </row>
    <row r="54" spans="2:31" s="104" customFormat="1">
      <c r="B54" s="724"/>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643"/>
    </row>
    <row r="55" spans="2:31" s="104" customFormat="1">
      <c r="B55" s="724"/>
      <c r="C55" s="318"/>
      <c r="D55" s="318"/>
      <c r="E55" s="318"/>
      <c r="F55" s="318"/>
      <c r="G55" s="318"/>
      <c r="H55" s="318"/>
      <c r="I55" s="318"/>
      <c r="J55" s="318"/>
      <c r="K55" s="318"/>
      <c r="L55" s="318"/>
      <c r="M55" s="318"/>
      <c r="N55" s="318"/>
      <c r="O55" s="318"/>
      <c r="P55" s="318"/>
      <c r="Q55" s="318"/>
      <c r="R55" s="318"/>
      <c r="S55" s="318"/>
      <c r="T55" s="318"/>
      <c r="U55" s="318"/>
      <c r="V55" s="318"/>
      <c r="W55" s="318"/>
      <c r="X55" s="318"/>
      <c r="Y55" s="318"/>
      <c r="Z55" s="318"/>
      <c r="AA55" s="318"/>
      <c r="AB55" s="318"/>
      <c r="AC55" s="318"/>
      <c r="AD55" s="318"/>
      <c r="AE55" s="643"/>
    </row>
    <row r="56" spans="2:31" s="104" customFormat="1">
      <c r="B56" s="724"/>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643"/>
    </row>
    <row r="57" spans="2:31" s="104" customFormat="1">
      <c r="B57" s="724"/>
      <c r="C57" s="318"/>
      <c r="D57" s="318"/>
      <c r="E57" s="318"/>
      <c r="F57" s="318"/>
      <c r="G57" s="318"/>
      <c r="H57" s="318"/>
      <c r="I57" s="318"/>
      <c r="J57" s="318"/>
      <c r="K57" s="318"/>
      <c r="L57" s="318"/>
      <c r="M57" s="318"/>
      <c r="N57" s="318"/>
      <c r="O57" s="318"/>
      <c r="P57" s="318"/>
      <c r="Q57" s="318"/>
      <c r="R57" s="318"/>
      <c r="S57" s="318"/>
      <c r="T57" s="318"/>
      <c r="U57" s="318"/>
      <c r="V57" s="318"/>
      <c r="W57" s="318"/>
      <c r="X57" s="318"/>
      <c r="Y57" s="318"/>
      <c r="Z57" s="318"/>
      <c r="AA57" s="318"/>
      <c r="AB57" s="318"/>
      <c r="AC57" s="318"/>
      <c r="AD57" s="318"/>
      <c r="AE57" s="643"/>
    </row>
    <row r="58" spans="2:31" s="104" customFormat="1">
      <c r="B58" s="724"/>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643"/>
    </row>
    <row r="59" spans="2:31" s="104" customFormat="1">
      <c r="B59" s="724"/>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643"/>
    </row>
    <row r="60" spans="2:31" s="104" customFormat="1">
      <c r="B60" s="724"/>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643"/>
    </row>
    <row r="61" spans="2:31" s="104" customFormat="1">
      <c r="B61" s="724"/>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643"/>
    </row>
    <row r="62" spans="2:31" s="104" customFormat="1">
      <c r="B62" s="724"/>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643"/>
    </row>
    <row r="63" spans="2:31" s="104" customFormat="1">
      <c r="B63" s="724"/>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643"/>
    </row>
    <row r="64" spans="2:31" s="104" customFormat="1">
      <c r="B64" s="724"/>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643"/>
    </row>
    <row r="65" spans="2:31" s="104" customFormat="1">
      <c r="B65" s="724"/>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643"/>
    </row>
    <row r="66" spans="2:31" s="104" customFormat="1">
      <c r="B66" s="72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643"/>
    </row>
    <row r="67" spans="2:31" s="104" customFormat="1">
      <c r="B67" s="724"/>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643"/>
    </row>
    <row r="68" spans="2:31" s="104" customFormat="1">
      <c r="B68" s="724"/>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643"/>
    </row>
    <row r="69" spans="2:31" s="104" customFormat="1">
      <c r="B69" s="724"/>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643"/>
    </row>
    <row r="70" spans="2:31" s="104" customFormat="1">
      <c r="B70" s="724"/>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643"/>
    </row>
    <row r="71" spans="2:31" s="104" customFormat="1">
      <c r="B71" s="724"/>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643"/>
    </row>
    <row r="72" spans="2:31" s="104" customFormat="1">
      <c r="B72" s="724"/>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643"/>
    </row>
    <row r="73" spans="2:31" s="104" customFormat="1">
      <c r="B73" s="724"/>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643"/>
    </row>
    <row r="74" spans="2:31" s="104" customFormat="1">
      <c r="B74" s="724"/>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643"/>
    </row>
    <row r="75" spans="2:31" s="104" customFormat="1">
      <c r="B75" s="724"/>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643"/>
    </row>
    <row r="76" spans="2:31" s="104" customFormat="1">
      <c r="B76" s="724"/>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643"/>
    </row>
    <row r="77" spans="2:31" s="104" customFormat="1">
      <c r="B77" s="724"/>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643"/>
    </row>
    <row r="78" spans="2:31" s="104" customFormat="1">
      <c r="B78" s="724"/>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643"/>
    </row>
    <row r="79" spans="2:31" s="104" customFormat="1">
      <c r="B79" s="724"/>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643"/>
    </row>
    <row r="80" spans="2:31" s="104" customFormat="1">
      <c r="B80" s="724"/>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643"/>
    </row>
    <row r="81" spans="2:31" s="104" customFormat="1">
      <c r="B81" s="724"/>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643"/>
    </row>
    <row r="82" spans="2:31" s="104" customFormat="1">
      <c r="B82" s="724"/>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643"/>
    </row>
    <row r="83" spans="2:31" s="104" customFormat="1">
      <c r="B83" s="724"/>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643"/>
    </row>
    <row r="84" spans="2:31" s="104" customFormat="1">
      <c r="B84" s="724"/>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643"/>
    </row>
    <row r="85" spans="2:31" s="104" customFormat="1">
      <c r="B85" s="724"/>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643"/>
    </row>
    <row r="86" spans="2:31" s="104" customFormat="1">
      <c r="B86" s="724"/>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643"/>
    </row>
    <row r="87" spans="2:31" s="104" customFormat="1">
      <c r="B87" s="724"/>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643"/>
    </row>
    <row r="88" spans="2:31" s="104" customFormat="1">
      <c r="B88" s="724"/>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643"/>
    </row>
    <row r="89" spans="2:31" s="104" customFormat="1">
      <c r="B89" s="724"/>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643"/>
    </row>
    <row r="90" spans="2:31" s="104" customFormat="1">
      <c r="B90" s="724"/>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643"/>
    </row>
    <row r="91" spans="2:31" s="104" customFormat="1">
      <c r="B91" s="724"/>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643"/>
    </row>
    <row r="92" spans="2:31" s="104" customFormat="1">
      <c r="B92" s="724"/>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643"/>
    </row>
    <row r="93" spans="2:31" s="104" customFormat="1">
      <c r="B93" s="724"/>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643"/>
    </row>
    <row r="94" spans="2:31" s="104" customFormat="1">
      <c r="B94" s="724"/>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643"/>
    </row>
    <row r="95" spans="2:31" s="104" customFormat="1">
      <c r="B95" s="724"/>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643"/>
    </row>
    <row r="96" spans="2:31" s="104" customFormat="1">
      <c r="B96" s="724"/>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643"/>
    </row>
    <row r="97" spans="2:31" s="104" customFormat="1">
      <c r="B97" s="724"/>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643"/>
    </row>
    <row r="98" spans="2:31" s="104" customFormat="1">
      <c r="B98" s="724"/>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643"/>
    </row>
    <row r="99" spans="2:31" s="104" customFormat="1">
      <c r="B99" s="724"/>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643"/>
    </row>
    <row r="100" spans="2:31" s="104" customFormat="1">
      <c r="B100" s="739"/>
      <c r="C100" s="700"/>
      <c r="D100" s="700"/>
      <c r="E100" s="700"/>
      <c r="F100" s="700"/>
      <c r="G100" s="700"/>
      <c r="H100" s="700"/>
      <c r="I100" s="700"/>
      <c r="J100" s="700"/>
      <c r="K100" s="700"/>
      <c r="L100" s="700"/>
      <c r="M100" s="700"/>
      <c r="N100" s="700"/>
      <c r="O100" s="700"/>
      <c r="P100" s="700"/>
      <c r="Q100" s="700"/>
      <c r="R100" s="700"/>
      <c r="S100" s="700"/>
      <c r="T100" s="700"/>
      <c r="U100" s="700"/>
      <c r="V100" s="700"/>
      <c r="W100" s="700"/>
      <c r="X100" s="700"/>
      <c r="Y100" s="700"/>
      <c r="Z100" s="700"/>
      <c r="AA100" s="700"/>
      <c r="AB100" s="700"/>
      <c r="AC100" s="700"/>
      <c r="AD100" s="700"/>
      <c r="AE100" s="740"/>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9FeIpw7SnQs3SffiCEhdqd8/dFKrw/anR4agmSj4n6TxBtW/Pe2G66stQRvWNbRHwoGbYG+P9EVGwqB9TKVzsw==" saltValue="9B3y1oy8svvtsCF3fHDGPg==" spinCount="100000" sheet="1" scenarios="1" insertHyperlinks="0"/>
  <protectedRanges>
    <protectedRange sqref="C3:C4 C10:C11 C14:C21 C23 E10:E12 E14:E21 E23 G10:G11 G14:G21 G23 I10:I11 I14:I21 I23 K10:K11 K14:K21 K23 M8:AE33 B34:AE100" name="Bereich1"/>
    <protectedRange sqref="C24:C25" name="Range1_1"/>
    <protectedRange sqref="E24:E25" name="Range1_2"/>
    <protectedRange sqref="G24:G25" name="Range1_3"/>
    <protectedRange sqref="I24:I25" name="Range1_4"/>
    <protectedRange sqref="K24:K25" name="Range1_5"/>
  </protectedRanges>
  <mergeCells count="24">
    <mergeCell ref="K9:L9"/>
    <mergeCell ref="K13:L13"/>
    <mergeCell ref="C6:D7"/>
    <mergeCell ref="E6:F7"/>
    <mergeCell ref="G6:H7"/>
    <mergeCell ref="C8:D8"/>
    <mergeCell ref="E8:F8"/>
    <mergeCell ref="I13:J13"/>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s>
  <phoneticPr fontId="3" type="noConversion"/>
  <conditionalFormatting sqref="C8 E8 G8 D10:D11 H10:H11 J10:J11 L10:L11 F10:F12 D14:D15 F14:F15 H14:H15 J14:J15 L14:L15 D18 F18 H18 J18 L18 D26:D28 F26:F28 H26:H28 J26:J28 L26:L28">
    <cfRule type="expression" dxfId="221" priority="15" stopIfTrue="1">
      <formula>C8="PASS"</formula>
    </cfRule>
    <cfRule type="expression" dxfId="220" priority="16" stopIfTrue="1">
      <formula>C8="FAIL"</formula>
    </cfRule>
  </conditionalFormatting>
  <conditionalFormatting sqref="C8:H8">
    <cfRule type="cellIs" dxfId="219" priority="13" stopIfTrue="1" operator="equal">
      <formula>"laminated"</formula>
    </cfRule>
  </conditionalFormatting>
  <conditionalFormatting sqref="I8:L8">
    <cfRule type="expression" dxfId="218" priority="17" stopIfTrue="1">
      <formula>I8="PASS"</formula>
    </cfRule>
    <cfRule type="expression" dxfId="217" priority="18" stopIfTrue="1">
      <formula>I8="FAIL"</formula>
    </cfRule>
    <cfRule type="expression" dxfId="216" priority="19" stopIfTrue="1">
      <formula>I8="N/A"</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workbookViewId="0"/>
  </sheetViews>
  <sheetFormatPr baseColWidth="10" defaultColWidth="11.46484375" defaultRowHeight="12.75"/>
  <cols>
    <col min="1" max="1" width="4.33203125" customWidth="1"/>
    <col min="2" max="2" width="31.46484375" customWidth="1"/>
    <col min="3" max="4" width="7" customWidth="1"/>
    <col min="5" max="8" width="11.46484375" customWidth="1"/>
    <col min="11" max="11" width="31.46484375" customWidth="1"/>
    <col min="12" max="13" width="7" customWidth="1"/>
    <col min="14" max="17" width="11.46484375" customWidth="1"/>
    <col min="20" max="20" width="31.46484375" customWidth="1"/>
    <col min="21" max="22" width="7" customWidth="1"/>
    <col min="23" max="26" width="11.46484375" customWidth="1"/>
  </cols>
  <sheetData>
    <row r="1" spans="2:28" ht="15">
      <c r="B1" s="1" t="s">
        <v>531</v>
      </c>
    </row>
    <row r="2" spans="2:28" ht="15">
      <c r="B2" s="1"/>
    </row>
    <row r="3" spans="2:28" ht="13.15">
      <c r="B3" t="s">
        <v>532</v>
      </c>
      <c r="F3" s="721" t="str">
        <f>IF('T3.13 T3.5 Ft Bulkhead'!F2="tubing only","N/A","YES")</f>
        <v>N/A</v>
      </c>
      <c r="I3" s="162" t="s">
        <v>219</v>
      </c>
      <c r="K3" s="162"/>
    </row>
    <row r="4" spans="2:28" ht="13.15">
      <c r="B4" t="s">
        <v>533</v>
      </c>
      <c r="F4" s="722" t="s">
        <v>534</v>
      </c>
      <c r="K4" s="162"/>
    </row>
    <row r="5" spans="2:28" ht="13.15">
      <c r="B5" t="s">
        <v>535</v>
      </c>
      <c r="F5" s="720" t="s">
        <v>122</v>
      </c>
      <c r="K5" s="162"/>
    </row>
    <row r="7" spans="2:28">
      <c r="B7" s="706"/>
      <c r="C7" s="660"/>
      <c r="D7" s="660"/>
      <c r="E7" s="660"/>
      <c r="F7" s="660"/>
      <c r="G7" s="660"/>
      <c r="H7" s="660"/>
      <c r="I7" s="660"/>
      <c r="J7" s="661"/>
      <c r="K7" s="660"/>
      <c r="L7" s="660"/>
      <c r="M7" s="660"/>
      <c r="N7" s="660"/>
      <c r="O7" s="660"/>
      <c r="P7" s="660"/>
      <c r="Q7" s="660"/>
      <c r="R7" s="660"/>
      <c r="S7" s="660"/>
      <c r="T7" s="706"/>
      <c r="U7" s="660"/>
      <c r="V7" s="660"/>
      <c r="W7" s="660"/>
      <c r="X7" s="660"/>
      <c r="Y7" s="660"/>
      <c r="Z7" s="660"/>
      <c r="AA7" s="660"/>
      <c r="AB7" s="661"/>
    </row>
    <row r="8" spans="2:28">
      <c r="B8" s="718"/>
      <c r="C8" s="316"/>
      <c r="D8" s="316"/>
      <c r="E8" s="316"/>
      <c r="F8" s="316"/>
      <c r="G8" s="316"/>
      <c r="H8" s="316"/>
      <c r="I8" s="316"/>
      <c r="J8" s="662"/>
      <c r="K8" s="316"/>
      <c r="L8" s="316"/>
      <c r="M8" s="316"/>
      <c r="N8" s="316"/>
      <c r="O8" s="316"/>
      <c r="P8" s="316"/>
      <c r="Q8" s="316"/>
      <c r="R8" s="316"/>
      <c r="S8" s="316"/>
      <c r="T8" s="718"/>
      <c r="U8" s="316"/>
      <c r="V8" s="316"/>
      <c r="W8" s="316"/>
      <c r="X8" s="316"/>
      <c r="Y8" s="316"/>
      <c r="Z8" s="316"/>
      <c r="AA8" s="316"/>
      <c r="AB8" s="662"/>
    </row>
    <row r="9" spans="2:28">
      <c r="B9" s="718"/>
      <c r="C9" s="316"/>
      <c r="D9" s="316"/>
      <c r="E9" s="316"/>
      <c r="F9" s="316"/>
      <c r="G9" s="316"/>
      <c r="H9" s="316"/>
      <c r="I9" s="316"/>
      <c r="J9" s="662"/>
      <c r="K9" s="316"/>
      <c r="L9" s="316"/>
      <c r="M9" s="316"/>
      <c r="N9" s="316"/>
      <c r="O9" s="316"/>
      <c r="P9" s="316"/>
      <c r="Q9" s="316"/>
      <c r="R9" s="316"/>
      <c r="S9" s="316"/>
      <c r="T9" s="718"/>
      <c r="U9" s="316"/>
      <c r="V9" s="316"/>
      <c r="W9" s="316"/>
      <c r="X9" s="316"/>
      <c r="Y9" s="316"/>
      <c r="Z9" s="316"/>
      <c r="AA9" s="316"/>
      <c r="AB9" s="662"/>
    </row>
    <row r="10" spans="2:28">
      <c r="B10" s="718"/>
      <c r="C10" s="316"/>
      <c r="D10" s="316"/>
      <c r="E10" s="316"/>
      <c r="F10" s="316"/>
      <c r="G10" s="316"/>
      <c r="H10" s="316"/>
      <c r="I10" s="316"/>
      <c r="J10" s="662"/>
      <c r="K10" s="316"/>
      <c r="L10" s="316"/>
      <c r="M10" s="316"/>
      <c r="N10" s="316"/>
      <c r="O10" s="316"/>
      <c r="P10" s="316"/>
      <c r="Q10" s="316"/>
      <c r="R10" s="316"/>
      <c r="S10" s="316"/>
      <c r="T10" s="718"/>
      <c r="U10" s="316"/>
      <c r="V10" s="316"/>
      <c r="W10" s="316"/>
      <c r="X10" s="316"/>
      <c r="Y10" s="316"/>
      <c r="Z10" s="316"/>
      <c r="AA10" s="316"/>
      <c r="AB10" s="662"/>
    </row>
    <row r="11" spans="2:28">
      <c r="B11" s="718"/>
      <c r="C11" s="316"/>
      <c r="D11" s="316"/>
      <c r="E11" s="316"/>
      <c r="F11" s="316"/>
      <c r="G11" s="316"/>
      <c r="H11" s="316"/>
      <c r="I11" s="316"/>
      <c r="J11" s="662"/>
      <c r="K11" s="316"/>
      <c r="L11" s="316"/>
      <c r="M11" s="316"/>
      <c r="N11" s="316"/>
      <c r="O11" s="316"/>
      <c r="P11" s="316"/>
      <c r="Q11" s="316"/>
      <c r="R11" s="316"/>
      <c r="S11" s="316"/>
      <c r="T11" s="718"/>
      <c r="U11" s="316"/>
      <c r="V11" s="316"/>
      <c r="W11" s="316"/>
      <c r="X11" s="316"/>
      <c r="Y11" s="316"/>
      <c r="Z11" s="316"/>
      <c r="AA11" s="316"/>
      <c r="AB11" s="662"/>
    </row>
    <row r="12" spans="2:28">
      <c r="B12" s="718"/>
      <c r="C12" s="316" t="s">
        <v>536</v>
      </c>
      <c r="D12" s="316"/>
      <c r="E12" s="316"/>
      <c r="F12" s="316"/>
      <c r="G12" s="316"/>
      <c r="H12" s="316"/>
      <c r="I12" s="316"/>
      <c r="J12" s="662"/>
      <c r="K12" s="316"/>
      <c r="L12" s="316" t="s">
        <v>537</v>
      </c>
      <c r="M12" s="316"/>
      <c r="N12" s="316"/>
      <c r="O12" s="316"/>
      <c r="P12" s="316"/>
      <c r="Q12" s="316"/>
      <c r="R12" s="316"/>
      <c r="S12" s="316"/>
      <c r="T12" s="718"/>
      <c r="U12" s="316" t="s">
        <v>537</v>
      </c>
      <c r="V12" s="316"/>
      <c r="W12" s="316"/>
      <c r="X12" s="316"/>
      <c r="Y12" s="316"/>
      <c r="Z12" s="316"/>
      <c r="AA12" s="316"/>
      <c r="AB12" s="662"/>
    </row>
    <row r="13" spans="2:28">
      <c r="B13" s="718"/>
      <c r="C13" s="316" t="s">
        <v>538</v>
      </c>
      <c r="D13" s="316"/>
      <c r="E13" s="316"/>
      <c r="F13" s="316"/>
      <c r="G13" s="316"/>
      <c r="H13" s="316"/>
      <c r="I13" s="316"/>
      <c r="J13" s="662"/>
      <c r="K13" s="316"/>
      <c r="L13" s="316" t="s">
        <v>539</v>
      </c>
      <c r="M13" s="316"/>
      <c r="N13" s="316"/>
      <c r="O13" s="316"/>
      <c r="P13" s="316"/>
      <c r="Q13" s="316"/>
      <c r="R13" s="316"/>
      <c r="S13" s="316"/>
      <c r="T13" s="718"/>
      <c r="U13" s="316" t="s">
        <v>539</v>
      </c>
      <c r="V13" s="316"/>
      <c r="W13" s="316"/>
      <c r="X13" s="316"/>
      <c r="Y13" s="316"/>
      <c r="Z13" s="316"/>
      <c r="AA13" s="316"/>
      <c r="AB13" s="662"/>
    </row>
    <row r="14" spans="2:28">
      <c r="B14" s="718"/>
      <c r="C14" s="316"/>
      <c r="D14" s="316"/>
      <c r="E14" s="316"/>
      <c r="F14" s="316"/>
      <c r="G14" s="316"/>
      <c r="H14" s="316"/>
      <c r="I14" s="316"/>
      <c r="J14" s="662"/>
      <c r="K14" s="316"/>
      <c r="L14" s="316"/>
      <c r="M14" s="316"/>
      <c r="N14" s="316"/>
      <c r="O14" s="316"/>
      <c r="P14" s="316"/>
      <c r="Q14" s="316"/>
      <c r="R14" s="316"/>
      <c r="S14" s="316"/>
      <c r="T14" s="718"/>
      <c r="U14" s="316"/>
      <c r="V14" s="316"/>
      <c r="W14" s="316"/>
      <c r="X14" s="316"/>
      <c r="Y14" s="316"/>
      <c r="Z14" s="316"/>
      <c r="AA14" s="316"/>
      <c r="AB14" s="662"/>
    </row>
    <row r="15" spans="2:28">
      <c r="B15" s="718"/>
      <c r="C15" s="316"/>
      <c r="D15" s="316"/>
      <c r="E15" s="316"/>
      <c r="F15" s="316"/>
      <c r="G15" s="316"/>
      <c r="H15" s="316"/>
      <c r="I15" s="316"/>
      <c r="J15" s="662"/>
      <c r="K15" s="316"/>
      <c r="L15" s="316"/>
      <c r="M15" s="316"/>
      <c r="N15" s="316"/>
      <c r="O15" s="316"/>
      <c r="P15" s="316"/>
      <c r="Q15" s="316"/>
      <c r="R15" s="316"/>
      <c r="S15" s="316"/>
      <c r="T15" s="718"/>
      <c r="U15" s="316"/>
      <c r="V15" s="316"/>
      <c r="W15" s="316"/>
      <c r="X15" s="316"/>
      <c r="Y15" s="316"/>
      <c r="Z15" s="316"/>
      <c r="AA15" s="316"/>
      <c r="AB15" s="662"/>
    </row>
    <row r="16" spans="2:28">
      <c r="B16" s="718"/>
      <c r="C16" s="316"/>
      <c r="D16" s="316"/>
      <c r="E16" s="316"/>
      <c r="F16" s="316"/>
      <c r="G16" s="316"/>
      <c r="H16" s="316"/>
      <c r="I16" s="316"/>
      <c r="J16" s="662"/>
      <c r="K16" s="316"/>
      <c r="L16" s="316"/>
      <c r="M16" s="316"/>
      <c r="N16" s="316"/>
      <c r="O16" s="316"/>
      <c r="P16" s="316"/>
      <c r="Q16" s="316"/>
      <c r="R16" s="316"/>
      <c r="S16" s="316"/>
      <c r="T16" s="718"/>
      <c r="U16" s="316"/>
      <c r="V16" s="316"/>
      <c r="W16" s="316"/>
      <c r="X16" s="316"/>
      <c r="Y16" s="316"/>
      <c r="Z16" s="316"/>
      <c r="AA16" s="316"/>
      <c r="AB16" s="662"/>
    </row>
    <row r="17" spans="2:28">
      <c r="B17" s="718"/>
      <c r="C17" s="316"/>
      <c r="D17" s="316"/>
      <c r="E17" s="316"/>
      <c r="F17" s="316"/>
      <c r="G17" s="316"/>
      <c r="H17" s="316"/>
      <c r="I17" s="316"/>
      <c r="J17" s="662"/>
      <c r="K17" s="316"/>
      <c r="L17" s="316"/>
      <c r="M17" s="316"/>
      <c r="N17" s="316"/>
      <c r="O17" s="316"/>
      <c r="P17" s="316"/>
      <c r="Q17" s="316"/>
      <c r="R17" s="316"/>
      <c r="S17" s="316"/>
      <c r="T17" s="718"/>
      <c r="U17" s="316"/>
      <c r="V17" s="316"/>
      <c r="W17" s="316"/>
      <c r="X17" s="316"/>
      <c r="Y17" s="316"/>
      <c r="Z17" s="316"/>
      <c r="AA17" s="316"/>
      <c r="AB17" s="662"/>
    </row>
    <row r="18" spans="2:28">
      <c r="B18" s="718"/>
      <c r="C18" s="316"/>
      <c r="D18" s="316"/>
      <c r="E18" s="316"/>
      <c r="F18" s="316"/>
      <c r="G18" s="316"/>
      <c r="H18" s="316"/>
      <c r="I18" s="316"/>
      <c r="J18" s="662"/>
      <c r="K18" s="316"/>
      <c r="L18" s="316"/>
      <c r="M18" s="316"/>
      <c r="N18" s="316"/>
      <c r="O18" s="316"/>
      <c r="P18" s="316"/>
      <c r="Q18" s="316"/>
      <c r="R18" s="316"/>
      <c r="S18" s="316"/>
      <c r="T18" s="718"/>
      <c r="U18" s="316"/>
      <c r="V18" s="316"/>
      <c r="W18" s="316"/>
      <c r="X18" s="316"/>
      <c r="Y18" s="316"/>
      <c r="Z18" s="316"/>
      <c r="AA18" s="316"/>
      <c r="AB18" s="662"/>
    </row>
    <row r="19" spans="2:28">
      <c r="B19" s="718"/>
      <c r="C19" s="316"/>
      <c r="D19" s="316"/>
      <c r="E19" s="316"/>
      <c r="F19" s="316"/>
      <c r="G19" s="316"/>
      <c r="H19" s="316"/>
      <c r="I19" s="316"/>
      <c r="J19" s="662"/>
      <c r="K19" s="316"/>
      <c r="L19" s="316"/>
      <c r="M19" s="316"/>
      <c r="N19" s="316"/>
      <c r="O19" s="316"/>
      <c r="P19" s="316"/>
      <c r="Q19" s="316"/>
      <c r="R19" s="316"/>
      <c r="S19" s="316"/>
      <c r="T19" s="718"/>
      <c r="U19" s="316"/>
      <c r="V19" s="316"/>
      <c r="W19" s="316"/>
      <c r="X19" s="316"/>
      <c r="Y19" s="316"/>
      <c r="Z19" s="316"/>
      <c r="AA19" s="316"/>
      <c r="AB19" s="662"/>
    </row>
    <row r="20" spans="2:28">
      <c r="B20" s="718"/>
      <c r="C20" s="316"/>
      <c r="D20" s="316"/>
      <c r="E20" s="316"/>
      <c r="F20" s="316"/>
      <c r="G20" s="316"/>
      <c r="H20" s="316"/>
      <c r="I20" s="316"/>
      <c r="J20" s="662"/>
      <c r="K20" s="316"/>
      <c r="L20" s="316"/>
      <c r="M20" s="316"/>
      <c r="N20" s="316"/>
      <c r="O20" s="316"/>
      <c r="P20" s="316"/>
      <c r="Q20" s="316"/>
      <c r="R20" s="316"/>
      <c r="S20" s="316"/>
      <c r="T20" s="718"/>
      <c r="U20" s="316"/>
      <c r="V20" s="316"/>
      <c r="W20" s="316"/>
      <c r="X20" s="316"/>
      <c r="Y20" s="316"/>
      <c r="Z20" s="316"/>
      <c r="AA20" s="316"/>
      <c r="AB20" s="662"/>
    </row>
    <row r="21" spans="2:28">
      <c r="B21" s="718"/>
      <c r="C21" s="316"/>
      <c r="D21" s="316"/>
      <c r="E21" s="316"/>
      <c r="F21" s="316"/>
      <c r="G21" s="316"/>
      <c r="H21" s="316"/>
      <c r="I21" s="316"/>
      <c r="J21" s="662"/>
      <c r="K21" s="316"/>
      <c r="L21" s="316"/>
      <c r="M21" s="316"/>
      <c r="N21" s="316"/>
      <c r="O21" s="316"/>
      <c r="P21" s="316"/>
      <c r="Q21" s="316"/>
      <c r="R21" s="316"/>
      <c r="S21" s="316"/>
      <c r="T21" s="718"/>
      <c r="U21" s="316"/>
      <c r="V21" s="316"/>
      <c r="W21" s="316"/>
      <c r="X21" s="316"/>
      <c r="Y21" s="316"/>
      <c r="Z21" s="316"/>
      <c r="AA21" s="316"/>
      <c r="AB21" s="662"/>
    </row>
    <row r="22" spans="2:28">
      <c r="B22" s="719"/>
      <c r="C22" s="663"/>
      <c r="D22" s="663"/>
      <c r="E22" s="663"/>
      <c r="F22" s="663"/>
      <c r="G22" s="663"/>
      <c r="H22" s="663"/>
      <c r="I22" s="663"/>
      <c r="J22" s="664"/>
      <c r="K22" s="663"/>
      <c r="L22" s="663"/>
      <c r="M22" s="663"/>
      <c r="N22" s="663"/>
      <c r="O22" s="663"/>
      <c r="P22" s="663"/>
      <c r="Q22" s="663"/>
      <c r="R22" s="663"/>
      <c r="S22" s="663"/>
      <c r="T22" s="719"/>
      <c r="U22" s="663"/>
      <c r="V22" s="663"/>
      <c r="W22" s="663"/>
      <c r="X22" s="663"/>
      <c r="Y22" s="663"/>
      <c r="Z22" s="663"/>
      <c r="AA22" s="663"/>
      <c r="AB22" s="664"/>
    </row>
    <row r="24" spans="2:28" ht="13.15">
      <c r="B24" s="666" t="s">
        <v>540</v>
      </c>
      <c r="C24" s="1353" t="str">
        <f>IF('T3.13 T3.5 Ft Bulkhead'!F2="tubing only","N/A",IF(AND(D29="PASS",D30="PASS",D31="PASS",D48="PASS",D44="PASS",D49="PASS",D50="pass"),"PASS",IF(AND(D29="PASS",D30="PASS",D31="PASS",D48="N/A",D44="PASS",D49="PASS",D50="pass"),"PASS",IF(AND(OR(D29="PASS",D29="CHECK"),OR(D30="PASS",D30="CHECK"),D31="PASS",OR(D48="N/A",D48="PASS"),D44="PASS",D49="PASS",D50="pass"),"CHECK","FAIL"))))</f>
        <v>N/A</v>
      </c>
      <c r="D24" s="1354"/>
      <c r="E24" s="1355"/>
      <c r="F24" s="1355"/>
      <c r="G24" s="1352"/>
      <c r="H24" s="1352"/>
      <c r="I24" s="20"/>
      <c r="J24" s="713"/>
      <c r="K24" s="666" t="s">
        <v>541</v>
      </c>
      <c r="L24" s="1288" t="str">
        <f>IF($F$4="NO","N/A",IF(AND(M29="PASS",M30="PASS",M31="PASS",M40="PASS",M50="PASS",M57="PASS",M58="PASS",M59 ="PASS",M60="PASS"),"PASS",IF(AND(OR(M29="PASS",M29="CHECK"),OR(M30="PASS",M30="CHECK"),M31="PASS",M40="PASS",M50="PASS",M57="PASS",M58="PASS",M59 ="PASS",M60="PASS"),"CHECK","FAIL")))</f>
        <v>FAIL</v>
      </c>
      <c r="M24" s="1289"/>
      <c r="N24" s="20"/>
      <c r="O24" s="20"/>
      <c r="P24" s="20"/>
      <c r="Q24" s="20"/>
      <c r="R24" s="20"/>
      <c r="S24" s="20"/>
      <c r="T24" s="666" t="s">
        <v>541</v>
      </c>
      <c r="U24" s="1288" t="str">
        <f>IF($F$4="NO","N/A",IF(AND(V29="PASS",V30="PASS",V31="PASS",V40="PASS",V50="PASS",V57="PASS",V58="PASS",V59 ="PASS",V60="PASS"),"PASS",IF(AND(OR(V29="PASS",V29="CHECK"),OR(V30="PASS",V30="CHECK"),V31="PASS",V40="PASS",V50="PASS",V57="PASS",V58="PASS",V59 ="PASS",V60="PASS"),"CHECK","FAIL")))</f>
        <v>FAIL</v>
      </c>
      <c r="V24" s="1289"/>
      <c r="W24" s="20"/>
      <c r="X24" s="20"/>
      <c r="Y24" s="20"/>
      <c r="Z24" s="20"/>
      <c r="AA24" s="20"/>
      <c r="AB24" s="21"/>
    </row>
    <row r="25" spans="2:28">
      <c r="B25" s="1339"/>
      <c r="C25" s="1340"/>
      <c r="D25" s="1341"/>
      <c r="E25" s="213"/>
      <c r="F25" s="26"/>
      <c r="G25" s="26"/>
      <c r="H25" s="26"/>
      <c r="I25" s="26"/>
      <c r="J25" s="638"/>
      <c r="K25" s="1339"/>
      <c r="L25" s="1340"/>
      <c r="M25" s="1341"/>
      <c r="N25" s="26"/>
      <c r="O25" s="26"/>
      <c r="P25" s="26"/>
      <c r="Q25" s="26"/>
      <c r="R25" s="26"/>
      <c r="S25" s="26"/>
      <c r="T25" s="1339"/>
      <c r="U25" s="1340"/>
      <c r="V25" s="1341"/>
      <c r="W25" s="26"/>
      <c r="X25" s="26"/>
      <c r="Y25" s="26"/>
      <c r="Z25" s="26"/>
      <c r="AA25" s="26"/>
      <c r="AB25" s="27"/>
    </row>
    <row r="26" spans="2:28">
      <c r="B26" s="672" t="s">
        <v>542</v>
      </c>
      <c r="C26" s="665"/>
      <c r="D26" s="667"/>
      <c r="E26" s="213"/>
      <c r="F26" s="316"/>
      <c r="G26" s="26"/>
      <c r="H26" s="26"/>
      <c r="I26" s="26"/>
      <c r="J26" s="638"/>
      <c r="K26" s="672" t="s">
        <v>542</v>
      </c>
      <c r="L26" s="665"/>
      <c r="M26" s="667"/>
      <c r="N26" s="26"/>
      <c r="O26" s="26"/>
      <c r="P26" s="26"/>
      <c r="Q26" s="26"/>
      <c r="R26" s="26"/>
      <c r="S26" s="26"/>
      <c r="T26" s="672" t="s">
        <v>542</v>
      </c>
      <c r="U26" s="665"/>
      <c r="V26" s="667"/>
      <c r="W26" s="26"/>
      <c r="X26" s="26"/>
      <c r="Y26" s="26"/>
      <c r="Z26" s="26"/>
      <c r="AA26" s="26"/>
      <c r="AB26" s="27"/>
    </row>
    <row r="27" spans="2:28">
      <c r="B27" s="668" t="s">
        <v>543</v>
      </c>
      <c r="C27" s="166">
        <f>IF($C$26&gt;0,ROUNDUP(C26/200,0),4)</f>
        <v>4</v>
      </c>
      <c r="D27" s="667"/>
      <c r="E27" s="213"/>
      <c r="F27" s="316"/>
      <c r="G27" s="26"/>
      <c r="H27" s="26"/>
      <c r="I27" s="26"/>
      <c r="J27" s="638"/>
      <c r="K27" s="668" t="s">
        <v>543</v>
      </c>
      <c r="L27" s="166">
        <f>IF(ROUNDUP(L26/200,0)&gt;=2,ROUNDUP(L26/200,0),2)</f>
        <v>2</v>
      </c>
      <c r="M27" s="667"/>
      <c r="N27" s="26"/>
      <c r="O27" s="26"/>
      <c r="P27" s="26"/>
      <c r="Q27" s="26"/>
      <c r="R27" s="26"/>
      <c r="S27" s="26"/>
      <c r="T27" s="668" t="s">
        <v>543</v>
      </c>
      <c r="U27" s="166">
        <f>IF(ROUNDUP(U26/200,0)&gt;=2,ROUNDUP(U26/200,0),2)</f>
        <v>2</v>
      </c>
      <c r="V27" s="667"/>
      <c r="W27" s="26"/>
      <c r="X27" s="26"/>
      <c r="Y27" s="26"/>
      <c r="Z27" s="26"/>
      <c r="AA27" s="26"/>
      <c r="AB27" s="27"/>
    </row>
    <row r="28" spans="2:28">
      <c r="B28" s="1342"/>
      <c r="C28" s="1343"/>
      <c r="D28" s="1278"/>
      <c r="E28" s="213"/>
      <c r="F28" s="26"/>
      <c r="G28" s="26"/>
      <c r="H28" s="26"/>
      <c r="I28" s="26"/>
      <c r="J28" s="638"/>
      <c r="K28" s="1342"/>
      <c r="L28" s="1343"/>
      <c r="M28" s="1278"/>
      <c r="N28" s="26"/>
      <c r="O28" s="26"/>
      <c r="P28" s="26"/>
      <c r="Q28" s="26"/>
      <c r="R28" s="26"/>
      <c r="S28" s="26"/>
      <c r="T28" s="1342"/>
      <c r="U28" s="1343"/>
      <c r="V28" s="1278"/>
      <c r="W28" s="26"/>
      <c r="X28" s="26"/>
      <c r="Y28" s="26"/>
      <c r="Z28" s="26"/>
      <c r="AA28" s="26"/>
      <c r="AB28" s="27"/>
    </row>
    <row r="29" spans="2:28">
      <c r="B29" s="670" t="s">
        <v>470</v>
      </c>
      <c r="C29" s="105">
        <v>8</v>
      </c>
      <c r="D29" s="671" t="str">
        <f>IF(C29&gt;=8,"PASS",IF(AND(C29&lt;8,C30&gt;=10),"CHECK",IF(OR(AND(C29&lt;8,C30&lt;C27),AND(C29&lt;6,C30&lt;10)),"FAIL","FAIL")))</f>
        <v>PASS</v>
      </c>
      <c r="E29" s="748"/>
      <c r="F29" s="214"/>
      <c r="G29" s="212"/>
      <c r="H29" s="214"/>
      <c r="I29" s="26"/>
      <c r="J29" s="638"/>
      <c r="K29" s="670" t="s">
        <v>470</v>
      </c>
      <c r="L29" s="105"/>
      <c r="M29" s="671" t="str">
        <f>IF(L29&gt;=8,"PASS",IF(AND(L29&lt;8,L30&gt;=10),"CHECK",IF(OR(AND(L29&lt;8,L30&lt;L27),AND(L29&lt;6,L30&lt;10)),"FAIL","FAIL")))</f>
        <v>FAIL</v>
      </c>
      <c r="N29" s="26"/>
      <c r="O29" s="26"/>
      <c r="P29" s="26"/>
      <c r="Q29" s="26"/>
      <c r="R29" s="26"/>
      <c r="S29" s="26"/>
      <c r="T29" s="670" t="s">
        <v>470</v>
      </c>
      <c r="U29" s="105"/>
      <c r="V29" s="671" t="str">
        <f>IF(U29&gt;=8,"PASS",IF(AND(U29&lt;8,U30&gt;=10),"CHECK",IF(OR(AND(U29&lt;8,U30&lt;U27),AND(U29&lt;6,U30&lt;10)),"FAIL","FAIL")))</f>
        <v>FAIL</v>
      </c>
      <c r="W29" s="26"/>
      <c r="X29" s="26"/>
      <c r="Y29" s="26"/>
      <c r="Z29" s="26"/>
      <c r="AA29" s="26"/>
      <c r="AB29" s="27"/>
    </row>
    <row r="30" spans="2:28">
      <c r="B30" s="670" t="s">
        <v>471</v>
      </c>
      <c r="C30" s="19">
        <v>8</v>
      </c>
      <c r="D30" s="707" t="str">
        <f>IF(AND(C30&gt;=C27,C29&gt;=8),"PASS",IF(C30&lt;C27,"FAIL",IF(AND(C30&gt;C27,C29&lt;8),"CHECK",IF(AND(C30&gt;=C27,C29&lt;8),"FAIL","FAIL"))))</f>
        <v>PASS</v>
      </c>
      <c r="E30" s="747"/>
      <c r="F30" s="214"/>
      <c r="G30" s="26"/>
      <c r="H30" s="214"/>
      <c r="I30" s="26"/>
      <c r="J30" s="638"/>
      <c r="K30" s="670" t="s">
        <v>471</v>
      </c>
      <c r="L30" s="19"/>
      <c r="M30" s="707" t="str">
        <f>IF(AND(L30&gt;=L27,L29&gt;=8),"PASS",IF(L30&lt;L27,"FAIL",IF(AND(L30&gt;L27,L29&lt;8),"CHECK",IF(AND(L30&gt;=L27,L29&lt;8),"FAIL","FAIL"))))</f>
        <v>FAIL</v>
      </c>
      <c r="N30" s="26"/>
      <c r="O30" s="26"/>
      <c r="P30" s="26"/>
      <c r="Q30" s="26"/>
      <c r="R30" s="316"/>
      <c r="S30" s="316"/>
      <c r="T30" s="670" t="s">
        <v>471</v>
      </c>
      <c r="U30" s="19"/>
      <c r="V30" s="707" t="str">
        <f>IF(AND(U30&gt;=U27,U29&gt;=8),"PASS",IF(U30&lt;U27,"FAIL",IF(AND(U30&gt;U27,U29&lt;8),"CHECK",IF(AND(U30&gt;=U27,U29&lt;8),"FAIL","FAIL"))))</f>
        <v>FAIL</v>
      </c>
      <c r="W30" s="316"/>
      <c r="X30" s="316"/>
      <c r="Y30" s="316"/>
      <c r="Z30" s="26"/>
      <c r="AA30" s="26"/>
      <c r="AB30" s="27"/>
    </row>
    <row r="31" spans="2:28">
      <c r="B31" s="708" t="s">
        <v>544</v>
      </c>
      <c r="C31" s="709"/>
      <c r="D31" s="710" t="str">
        <f>IFERROR(IF(AND(C30&gt;=C27,C31&lt;=(1.2*C26/C30),C31&gt;=30),"PASS","FAIL"),"FAIL")</f>
        <v>FAIL</v>
      </c>
      <c r="E31" s="747"/>
      <c r="F31" s="215"/>
      <c r="G31" s="26"/>
      <c r="H31" s="215"/>
      <c r="I31" s="26"/>
      <c r="J31" s="638"/>
      <c r="K31" s="708" t="s">
        <v>544</v>
      </c>
      <c r="L31" s="709"/>
      <c r="M31" s="710" t="str">
        <f>IFERROR(IF(AND(L30&gt;=L27,L31&lt;=(1.05*L26/L27),L31&gt;=30),"PASS","FAIL"),"FAIL")</f>
        <v>FAIL</v>
      </c>
      <c r="N31" s="26"/>
      <c r="O31" s="26"/>
      <c r="P31" s="26"/>
      <c r="Q31" s="26"/>
      <c r="R31" s="316"/>
      <c r="S31" s="316"/>
      <c r="T31" s="708" t="s">
        <v>545</v>
      </c>
      <c r="U31" s="709"/>
      <c r="V31" s="710" t="str">
        <f>IFERROR(IF(AND(U30&gt;=U27,U31&lt;=(1.05*U26/U27),U31&gt;=30),"PASS","FAIL"),"FAIL")</f>
        <v>FAIL</v>
      </c>
      <c r="W31" s="26"/>
      <c r="X31" s="316"/>
      <c r="Y31" s="316"/>
      <c r="Z31" s="26"/>
      <c r="AA31" s="26"/>
      <c r="AB31" s="27"/>
    </row>
    <row r="32" spans="2:28">
      <c r="B32" s="708"/>
      <c r="C32" s="711"/>
      <c r="D32" s="712"/>
      <c r="E32" s="26"/>
      <c r="F32" s="215"/>
      <c r="G32" s="26"/>
      <c r="H32" s="215"/>
      <c r="I32" s="26"/>
      <c r="J32" s="638"/>
      <c r="K32" s="708"/>
      <c r="L32" s="711"/>
      <c r="M32" s="712"/>
      <c r="N32" s="26"/>
      <c r="O32" s="26"/>
      <c r="P32" s="26"/>
      <c r="Q32" s="26"/>
      <c r="R32" s="316"/>
      <c r="S32" s="316"/>
      <c r="T32" s="708"/>
      <c r="U32" s="711"/>
      <c r="V32" s="712"/>
      <c r="W32" s="316"/>
      <c r="X32" s="316"/>
      <c r="Y32" s="316"/>
      <c r="Z32" s="26"/>
      <c r="AA32" s="26"/>
      <c r="AB32" s="27"/>
    </row>
    <row r="33" spans="2:28" ht="12.75" customHeight="1">
      <c r="B33" s="1344"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345"/>
      <c r="D33" s="1346"/>
      <c r="E33" s="26"/>
      <c r="F33" s="756"/>
      <c r="G33" s="26"/>
      <c r="H33" s="215"/>
      <c r="I33" s="26"/>
      <c r="J33" s="638"/>
      <c r="K33" s="1344" t="str">
        <f>IF(AND($M$29="PASS",$M$30="PASS",$M$31="PASS"),"General design O.K - now, fill out attachment characteristics below:",IF(M31="FAIL",IF(OR(M29="FAIL",M30="FAIL"),"Proof of equivalence required","Check distribution of bolts and elaborate below."),"Proof of equivalence required"))</f>
        <v>Proof of equivalence required</v>
      </c>
      <c r="L33" s="1345"/>
      <c r="M33" s="1346"/>
      <c r="N33" s="316"/>
      <c r="O33" s="316"/>
      <c r="P33" s="316"/>
      <c r="Q33" s="26"/>
      <c r="R33" s="316"/>
      <c r="S33" s="316"/>
      <c r="T33" s="1344" t="str">
        <f>IF(AND(V$29="PASS",V$30="PASS",$V$31="PASS"),"General design O.K - now, fill out attachment characteristics below:",IF(V31="FAIL",IF(OR(V29="FAIL",V30="FAIL"),"Proof of equivalence required","Check distribution of bolts and elaborate below."),"Proof of equivalence required"))</f>
        <v>Proof of equivalence required</v>
      </c>
      <c r="U33" s="1345"/>
      <c r="V33" s="1346"/>
      <c r="W33" s="316"/>
      <c r="X33" s="316"/>
      <c r="Y33" s="316"/>
      <c r="Z33" s="26"/>
      <c r="AA33" s="26"/>
      <c r="AB33" s="27"/>
    </row>
    <row r="34" spans="2:28">
      <c r="B34" s="1347"/>
      <c r="C34" s="1348"/>
      <c r="D34" s="1349"/>
      <c r="E34" s="26"/>
      <c r="F34" s="215" t="s">
        <v>546</v>
      </c>
      <c r="G34" s="26"/>
      <c r="H34" s="215"/>
      <c r="I34" s="26"/>
      <c r="J34" s="638"/>
      <c r="K34" s="1347"/>
      <c r="L34" s="1348"/>
      <c r="M34" s="1349"/>
      <c r="N34" s="316"/>
      <c r="O34" s="316"/>
      <c r="P34" s="316"/>
      <c r="Q34" s="26"/>
      <c r="R34" s="316"/>
      <c r="S34" s="316"/>
      <c r="T34" s="1347"/>
      <c r="U34" s="1348"/>
      <c r="V34" s="1349"/>
      <c r="W34" s="316"/>
      <c r="X34" s="316"/>
      <c r="Y34" s="316"/>
      <c r="Z34" s="26"/>
      <c r="AA34" s="26"/>
      <c r="AB34" s="27"/>
    </row>
    <row r="35" spans="2:28" ht="13.15">
      <c r="B35" s="807"/>
      <c r="C35" s="808"/>
      <c r="D35" s="809"/>
      <c r="E35" s="26"/>
      <c r="F35" s="215"/>
      <c r="G35" s="26"/>
      <c r="H35" s="215"/>
      <c r="I35" s="26"/>
      <c r="J35" s="638"/>
      <c r="K35" s="807"/>
      <c r="L35" s="808"/>
      <c r="M35" s="809"/>
      <c r="N35" s="316"/>
      <c r="O35" s="316"/>
      <c r="P35" s="316"/>
      <c r="Q35" s="26"/>
      <c r="R35" s="316"/>
      <c r="S35" s="316"/>
      <c r="T35" s="807"/>
      <c r="U35" s="808"/>
      <c r="V35" s="809"/>
      <c r="W35" s="316"/>
      <c r="X35" s="316"/>
      <c r="Y35" s="316"/>
      <c r="Z35" s="26"/>
      <c r="AA35" s="26"/>
      <c r="AB35" s="27"/>
    </row>
    <row r="36" spans="2:28" ht="13.15">
      <c r="B36" s="810"/>
      <c r="C36" s="811"/>
      <c r="D36" s="812"/>
      <c r="E36" s="26"/>
      <c r="F36" s="215"/>
      <c r="G36" s="26"/>
      <c r="H36" s="215"/>
      <c r="I36" s="26"/>
      <c r="J36" s="638"/>
      <c r="K36" s="1334" t="s">
        <v>547</v>
      </c>
      <c r="L36" s="1335"/>
      <c r="M36" s="1336"/>
      <c r="N36" s="316"/>
      <c r="O36" s="316"/>
      <c r="P36" s="316"/>
      <c r="Q36" s="26"/>
      <c r="R36" s="316"/>
      <c r="S36" s="316"/>
      <c r="T36" s="1334" t="s">
        <v>547</v>
      </c>
      <c r="U36" s="1335"/>
      <c r="V36" s="1336"/>
      <c r="W36" s="316"/>
      <c r="X36" s="316"/>
      <c r="Y36" s="316"/>
      <c r="Z36" s="26"/>
      <c r="AA36" s="26"/>
      <c r="AB36" s="27"/>
    </row>
    <row r="37" spans="2:28" ht="13.15">
      <c r="B37" s="810"/>
      <c r="C37" s="811"/>
      <c r="D37" s="812"/>
      <c r="E37" s="26"/>
      <c r="F37" s="215"/>
      <c r="G37" s="26"/>
      <c r="H37" s="215"/>
      <c r="I37" s="26"/>
      <c r="J37" s="638"/>
      <c r="K37" s="390" t="s">
        <v>480</v>
      </c>
      <c r="L37" s="1332" t="s">
        <v>178</v>
      </c>
      <c r="M37" s="1333"/>
      <c r="N37" s="316"/>
      <c r="O37" s="316"/>
      <c r="P37" s="316"/>
      <c r="Q37" s="26"/>
      <c r="R37" s="316"/>
      <c r="S37" s="316"/>
      <c r="T37" s="390" t="s">
        <v>480</v>
      </c>
      <c r="U37" s="1332" t="s">
        <v>178</v>
      </c>
      <c r="V37" s="1333"/>
      <c r="W37" s="316"/>
      <c r="X37" s="316"/>
      <c r="Y37" s="316"/>
      <c r="Z37" s="26"/>
      <c r="AA37" s="26"/>
      <c r="AB37" s="27"/>
    </row>
    <row r="38" spans="2:28" ht="13.15">
      <c r="B38" s="810"/>
      <c r="C38" s="811"/>
      <c r="D38" s="812"/>
      <c r="E38" s="26"/>
      <c r="F38" s="215"/>
      <c r="G38" s="26"/>
      <c r="H38" s="215"/>
      <c r="I38" s="26"/>
      <c r="J38" s="638"/>
      <c r="K38" s="39" t="s">
        <v>482</v>
      </c>
      <c r="L38" s="1337" t="str">
        <f>HLOOKUP(L37,MaterialData!$C$3:$O$4,2,FALSE)</f>
        <v>T3.5_Laminate</v>
      </c>
      <c r="M38" s="1338"/>
      <c r="N38" s="316"/>
      <c r="O38" s="316"/>
      <c r="P38" s="316"/>
      <c r="Q38" s="26"/>
      <c r="R38" s="316"/>
      <c r="S38" s="316"/>
      <c r="T38" s="39" t="s">
        <v>482</v>
      </c>
      <c r="U38" s="1337" t="str">
        <f>HLOOKUP(U37,MaterialData!$C$3:$O$4,2,FALSE)</f>
        <v>T3.5_Laminate</v>
      </c>
      <c r="V38" s="1338"/>
      <c r="W38" s="316"/>
      <c r="X38" s="316"/>
      <c r="Y38" s="316"/>
      <c r="Z38" s="26"/>
      <c r="AA38" s="26"/>
      <c r="AB38" s="27"/>
    </row>
    <row r="39" spans="2:28">
      <c r="B39" s="728" t="s">
        <v>548</v>
      </c>
      <c r="C39" s="729">
        <f>'T3.17.3 IA AI Plate'!D19</f>
        <v>1.5</v>
      </c>
      <c r="D39" s="730"/>
      <c r="E39" s="26"/>
      <c r="F39" s="750"/>
      <c r="G39" s="26"/>
      <c r="H39" s="215"/>
      <c r="I39" s="26"/>
      <c r="J39" s="638"/>
      <c r="K39" s="390" t="s">
        <v>549</v>
      </c>
      <c r="L39" s="102">
        <v>200</v>
      </c>
      <c r="M39" s="61"/>
      <c r="N39" s="316"/>
      <c r="O39" s="316"/>
      <c r="P39" s="316"/>
      <c r="Q39" s="26"/>
      <c r="R39" s="316"/>
      <c r="S39" s="316"/>
      <c r="T39" s="390" t="s">
        <v>549</v>
      </c>
      <c r="U39" s="102">
        <v>200</v>
      </c>
      <c r="V39" s="61"/>
      <c r="W39" s="316"/>
      <c r="X39" s="316"/>
      <c r="Y39" s="316"/>
      <c r="Z39" s="26"/>
      <c r="AA39" s="26"/>
      <c r="AB39" s="27"/>
    </row>
    <row r="40" spans="2:28">
      <c r="B40" s="668" t="s">
        <v>550</v>
      </c>
      <c r="C40" s="727"/>
      <c r="D40" s="715"/>
      <c r="E40" s="26"/>
      <c r="F40" s="215"/>
      <c r="G40" s="26"/>
      <c r="H40" s="215"/>
      <c r="I40" s="26"/>
      <c r="J40" s="638"/>
      <c r="K40" s="39" t="s">
        <v>551</v>
      </c>
      <c r="L40" s="102">
        <v>2</v>
      </c>
      <c r="M40" s="61" t="str">
        <f>IF(L40&gt;=2,"PASS","FAIL")</f>
        <v>PASS</v>
      </c>
      <c r="N40" s="316"/>
      <c r="O40" s="316"/>
      <c r="P40" s="316"/>
      <c r="Q40" s="26"/>
      <c r="R40" s="316"/>
      <c r="S40" s="316"/>
      <c r="T40" s="39" t="s">
        <v>551</v>
      </c>
      <c r="U40" s="102">
        <v>2</v>
      </c>
      <c r="V40" s="61" t="str">
        <f>IF(U40&gt;=2,"PASS","FAIL")</f>
        <v>PASS</v>
      </c>
      <c r="W40" s="316"/>
      <c r="X40" s="316"/>
      <c r="Y40" s="316"/>
      <c r="Z40" s="26"/>
      <c r="AA40" s="26"/>
      <c r="AB40" s="27"/>
    </row>
    <row r="41" spans="2:28">
      <c r="B41" s="697" t="s">
        <v>485</v>
      </c>
      <c r="C41" s="949">
        <f>'T3.13 T3.5 Ft Bulkhead'!$F$24</f>
        <v>0</v>
      </c>
      <c r="D41" s="667"/>
      <c r="E41" s="26"/>
      <c r="F41" s="215"/>
      <c r="G41" s="26"/>
      <c r="H41" s="215"/>
      <c r="I41" s="26"/>
      <c r="J41" s="638"/>
      <c r="K41" s="697" t="s">
        <v>476</v>
      </c>
      <c r="L41" s="102">
        <v>200</v>
      </c>
      <c r="M41" s="61"/>
      <c r="N41" s="316"/>
      <c r="O41" s="316"/>
      <c r="P41" s="316"/>
      <c r="Q41" s="26"/>
      <c r="R41" s="316"/>
      <c r="S41" s="316"/>
      <c r="T41" s="697" t="s">
        <v>476</v>
      </c>
      <c r="U41" s="102">
        <v>200</v>
      </c>
      <c r="V41" s="61"/>
      <c r="W41" s="316"/>
      <c r="X41" s="316"/>
      <c r="Y41" s="316"/>
      <c r="Z41" s="26"/>
      <c r="AA41" s="26"/>
      <c r="AB41" s="27"/>
    </row>
    <row r="42" spans="2:28">
      <c r="B42" s="697" t="s">
        <v>476</v>
      </c>
      <c r="C42" s="99"/>
      <c r="D42" s="667"/>
      <c r="E42" s="26"/>
      <c r="F42" s="215"/>
      <c r="G42" s="26"/>
      <c r="H42" s="215"/>
      <c r="I42" s="26"/>
      <c r="J42" s="638"/>
      <c r="K42" s="39" t="s">
        <v>479</v>
      </c>
      <c r="L42" s="102">
        <v>60</v>
      </c>
      <c r="M42" s="60"/>
      <c r="N42" s="316"/>
      <c r="O42" s="316"/>
      <c r="P42" s="316"/>
      <c r="Q42" s="26"/>
      <c r="R42" s="316"/>
      <c r="S42" s="316"/>
      <c r="T42" s="39" t="s">
        <v>479</v>
      </c>
      <c r="U42" s="102">
        <v>60</v>
      </c>
      <c r="V42" s="61"/>
      <c r="W42" s="316"/>
      <c r="X42" s="316"/>
      <c r="Y42" s="316"/>
      <c r="Z42" s="26"/>
      <c r="AA42" s="26"/>
      <c r="AB42" s="27"/>
    </row>
    <row r="43" spans="2:28" ht="13.15">
      <c r="B43" s="697" t="s">
        <v>485</v>
      </c>
      <c r="C43" s="949">
        <f>'T3.13 T3.5 Ft Bulkhead'!$F$23</f>
        <v>0</v>
      </c>
      <c r="D43" s="667"/>
      <c r="E43" s="212"/>
      <c r="F43" s="214"/>
      <c r="G43" s="212"/>
      <c r="H43" s="214"/>
      <c r="I43" s="26"/>
      <c r="J43" s="638"/>
      <c r="K43" s="39" t="s">
        <v>485</v>
      </c>
      <c r="L43" s="948">
        <v>2</v>
      </c>
      <c r="M43" s="839" t="str">
        <f>IF(L43&lt;0.4*L44,"FAIL, see T3.4.4","")</f>
        <v/>
      </c>
      <c r="N43" s="249"/>
      <c r="O43" s="316"/>
      <c r="P43" s="316"/>
      <c r="Q43" s="26"/>
      <c r="R43" s="316"/>
      <c r="S43" s="316"/>
      <c r="T43" s="39" t="s">
        <v>485</v>
      </c>
      <c r="U43" s="948">
        <v>2</v>
      </c>
      <c r="V43" s="839" t="str">
        <f>IF(U43&lt;0.4*U44,"FAIL, see T3.4.4","")</f>
        <v/>
      </c>
      <c r="W43" s="316"/>
      <c r="X43" s="316"/>
      <c r="Y43" s="316"/>
      <c r="Z43" s="26"/>
      <c r="AA43" s="26"/>
      <c r="AB43" s="27"/>
    </row>
    <row r="44" spans="2:28" ht="13.15">
      <c r="B44" s="669" t="s">
        <v>477</v>
      </c>
      <c r="C44" s="75"/>
      <c r="D44" s="667" t="str">
        <f>IF(C44&gt;=2,"PASS","FAIL")</f>
        <v>FAIL</v>
      </c>
      <c r="E44" s="212"/>
      <c r="F44" s="214"/>
      <c r="G44" s="212"/>
      <c r="H44" s="214"/>
      <c r="I44" s="26"/>
      <c r="J44" s="638"/>
      <c r="K44" s="39" t="s">
        <v>485</v>
      </c>
      <c r="L44" s="948">
        <v>2</v>
      </c>
      <c r="M44" s="839" t="str">
        <f>IF(L44&lt;0.4*L43,"FAIL, see T3.4.4","")</f>
        <v/>
      </c>
      <c r="N44" s="249"/>
      <c r="O44" s="316"/>
      <c r="P44" s="316"/>
      <c r="Q44" s="26"/>
      <c r="R44" s="316"/>
      <c r="S44" s="316"/>
      <c r="T44" s="39" t="s">
        <v>485</v>
      </c>
      <c r="U44" s="948">
        <v>2</v>
      </c>
      <c r="V44" s="839" t="str">
        <f>IF(U44&lt;0.4*U43,"FAIL, see T3.4.4","")</f>
        <v/>
      </c>
      <c r="W44" s="316"/>
      <c r="X44" s="316"/>
      <c r="Y44" s="316"/>
      <c r="Z44" s="26"/>
      <c r="AA44" s="26"/>
      <c r="AB44" s="27"/>
    </row>
    <row r="45" spans="2:28">
      <c r="B45" s="669" t="s">
        <v>478</v>
      </c>
      <c r="C45" s="75"/>
      <c r="D45" s="716"/>
      <c r="E45" s="212"/>
      <c r="F45" s="214"/>
      <c r="G45" s="212"/>
      <c r="H45" s="214"/>
      <c r="I45" s="26"/>
      <c r="J45" s="638"/>
      <c r="K45" s="39" t="s">
        <v>483</v>
      </c>
      <c r="L45" s="102">
        <v>50</v>
      </c>
      <c r="M45" s="844"/>
      <c r="N45" s="249"/>
      <c r="O45" s="316"/>
      <c r="P45" s="316"/>
      <c r="Q45" s="26"/>
      <c r="R45" s="316"/>
      <c r="S45" s="316"/>
      <c r="T45" s="39" t="s">
        <v>483</v>
      </c>
      <c r="U45" s="102">
        <v>50</v>
      </c>
      <c r="V45" s="382"/>
      <c r="W45" s="316"/>
      <c r="X45" s="316"/>
      <c r="Y45" s="316"/>
      <c r="Z45" s="26"/>
      <c r="AA45" s="26"/>
      <c r="AB45" s="27"/>
    </row>
    <row r="46" spans="2:28" ht="13.15">
      <c r="B46" s="697" t="s">
        <v>479</v>
      </c>
      <c r="C46" s="99"/>
      <c r="D46" s="667"/>
      <c r="E46" s="212"/>
      <c r="F46" s="214"/>
      <c r="G46" s="212"/>
      <c r="H46" s="214"/>
      <c r="I46" s="26"/>
      <c r="J46" s="638"/>
      <c r="K46" s="1334" t="s">
        <v>552</v>
      </c>
      <c r="L46" s="1335"/>
      <c r="M46" s="1336"/>
      <c r="N46" s="249"/>
      <c r="O46" s="316"/>
      <c r="P46" s="316"/>
      <c r="Q46" s="26"/>
      <c r="R46" s="316"/>
      <c r="S46" s="316"/>
      <c r="T46" s="1334" t="s">
        <v>552</v>
      </c>
      <c r="U46" s="1335"/>
      <c r="V46" s="1336"/>
      <c r="W46" s="249"/>
      <c r="X46" s="316"/>
      <c r="Y46" s="316"/>
      <c r="Z46" s="26"/>
      <c r="AA46" s="26"/>
      <c r="AB46" s="27"/>
    </row>
    <row r="47" spans="2:28">
      <c r="B47" s="697" t="s">
        <v>483</v>
      </c>
      <c r="C47" s="62">
        <f>'T3.13 T3.5 Ft Bulkhead'!$F$13/1000000</f>
        <v>0</v>
      </c>
      <c r="D47" s="667"/>
      <c r="E47" s="212"/>
      <c r="F47" s="214"/>
      <c r="G47" s="212"/>
      <c r="H47" s="214"/>
      <c r="I47" s="26"/>
      <c r="J47" s="638"/>
      <c r="K47" s="390" t="s">
        <v>480</v>
      </c>
      <c r="L47" s="1332" t="s">
        <v>178</v>
      </c>
      <c r="M47" s="1333"/>
      <c r="N47" s="249"/>
      <c r="O47" s="316"/>
      <c r="P47" s="316"/>
      <c r="Q47" s="26"/>
      <c r="R47" s="316"/>
      <c r="S47" s="316"/>
      <c r="T47" s="390" t="s">
        <v>480</v>
      </c>
      <c r="U47" s="1332" t="s">
        <v>178</v>
      </c>
      <c r="V47" s="1333"/>
      <c r="W47" s="249"/>
      <c r="X47" s="316"/>
      <c r="Y47" s="316"/>
      <c r="Z47" s="26"/>
      <c r="AA47" s="26"/>
      <c r="AB47" s="27"/>
    </row>
    <row r="48" spans="2:28">
      <c r="B48" s="697" t="s">
        <v>487</v>
      </c>
      <c r="C48" s="62">
        <f>IF('T3.17.3 IA AI Plate'!D8="Alternative AIP","N/A",C39*C40*'T3.17.3 IA AI Plate'!D15/1000000000)</f>
        <v>0</v>
      </c>
      <c r="D48" s="667" t="str">
        <f>IF('T3.17.3 IA AI Plate'!D8="Alternative AIP","N/A",IF(C48&gt;=23,"PASS","FAIL"))</f>
        <v>FAIL</v>
      </c>
      <c r="E48" s="26"/>
      <c r="F48" s="214"/>
      <c r="G48" s="26"/>
      <c r="H48" s="214"/>
      <c r="I48" s="26"/>
      <c r="J48" s="638"/>
      <c r="K48" s="39" t="s">
        <v>482</v>
      </c>
      <c r="L48" s="1337" t="str">
        <f>HLOOKUP(L47,MaterialData!$C$3:$O$4,2,FALSE)</f>
        <v>T3.5_Laminate</v>
      </c>
      <c r="M48" s="1338"/>
      <c r="N48" s="249"/>
      <c r="O48" s="316"/>
      <c r="P48" s="316"/>
      <c r="Q48" s="26"/>
      <c r="R48" s="316"/>
      <c r="S48" s="316"/>
      <c r="T48" s="39" t="s">
        <v>482</v>
      </c>
      <c r="U48" s="1337" t="str">
        <f>HLOOKUP(U47,MaterialData!$C$3:$O$4,2,FALSE)</f>
        <v>T3.5_Laminate</v>
      </c>
      <c r="V48" s="1338"/>
      <c r="W48" s="249"/>
      <c r="X48" s="316"/>
      <c r="Y48" s="316"/>
      <c r="Z48" s="26"/>
      <c r="AA48" s="26"/>
      <c r="AB48" s="27"/>
    </row>
    <row r="49" spans="2:28">
      <c r="B49" s="669" t="s">
        <v>487</v>
      </c>
      <c r="C49" s="62">
        <f>((C41*C42)+(C43*C45))*C47*0.001</f>
        <v>0</v>
      </c>
      <c r="D49" s="667" t="str">
        <f>IF(C49&gt;=23,"PASS","FAIL")</f>
        <v>FAIL</v>
      </c>
      <c r="E49" s="26"/>
      <c r="F49" s="215"/>
      <c r="G49" s="26"/>
      <c r="H49" s="215"/>
      <c r="I49" s="26"/>
      <c r="J49" s="638"/>
      <c r="K49" s="390" t="s">
        <v>549</v>
      </c>
      <c r="L49" s="102">
        <v>200</v>
      </c>
      <c r="M49" s="61"/>
      <c r="N49" s="249"/>
      <c r="O49" s="316"/>
      <c r="P49" s="316"/>
      <c r="Q49" s="26"/>
      <c r="R49" s="316"/>
      <c r="S49" s="316"/>
      <c r="T49" s="390" t="s">
        <v>549</v>
      </c>
      <c r="U49" s="102">
        <v>200</v>
      </c>
      <c r="V49" s="61"/>
      <c r="W49" s="249"/>
      <c r="X49" s="316"/>
      <c r="Y49" s="316"/>
      <c r="Z49" s="26"/>
      <c r="AA49" s="26"/>
      <c r="AB49" s="27"/>
    </row>
    <row r="50" spans="2:28">
      <c r="B50" s="717" t="s">
        <v>488</v>
      </c>
      <c r="C50" s="205">
        <f>C47*2*C46*(C41+C43)*0.001</f>
        <v>0</v>
      </c>
      <c r="D50" s="667" t="str">
        <f>IF(C50&gt;=23,"PASS","FAIL")</f>
        <v>FAIL</v>
      </c>
      <c r="E50" s="212"/>
      <c r="F50" s="214"/>
      <c r="G50" s="212"/>
      <c r="H50" s="214"/>
      <c r="I50" s="212"/>
      <c r="J50" s="714"/>
      <c r="K50" s="39" t="s">
        <v>551</v>
      </c>
      <c r="L50" s="102">
        <v>2</v>
      </c>
      <c r="M50" s="61" t="str">
        <f>IF(L50&gt;=2,"PASS","FAIL")</f>
        <v>PASS</v>
      </c>
      <c r="N50" s="249"/>
      <c r="O50" s="316"/>
      <c r="P50" s="316"/>
      <c r="Q50" s="26"/>
      <c r="R50" s="316"/>
      <c r="S50" s="316"/>
      <c r="T50" s="39" t="s">
        <v>551</v>
      </c>
      <c r="U50" s="102">
        <v>2</v>
      </c>
      <c r="V50" s="61" t="str">
        <f>IF(U50&gt;=2,"PASS","FAIL")</f>
        <v>PASS</v>
      </c>
      <c r="W50" s="249"/>
      <c r="X50" s="316"/>
      <c r="Y50" s="316"/>
      <c r="Z50" s="26"/>
      <c r="AA50" s="26"/>
      <c r="AB50" s="27"/>
    </row>
    <row r="51" spans="2:28" ht="12.75" customHeight="1">
      <c r="B51" s="1350" t="s">
        <v>553</v>
      </c>
      <c r="C51" s="1328"/>
      <c r="D51" s="1351"/>
      <c r="E51" s="212"/>
      <c r="F51" s="214"/>
      <c r="G51" s="212"/>
      <c r="H51" s="214"/>
      <c r="I51" s="26"/>
      <c r="J51" s="26"/>
      <c r="K51" s="697" t="s">
        <v>476</v>
      </c>
      <c r="L51" s="102">
        <v>200</v>
      </c>
      <c r="M51" s="61"/>
      <c r="N51" s="316"/>
      <c r="O51" s="316"/>
      <c r="P51" s="316"/>
      <c r="Q51" s="26"/>
      <c r="R51" s="316"/>
      <c r="S51" s="316"/>
      <c r="T51" s="697" t="s">
        <v>476</v>
      </c>
      <c r="U51" s="102">
        <v>200</v>
      </c>
      <c r="V51" s="61"/>
      <c r="W51" s="316"/>
      <c r="X51" s="316"/>
      <c r="Y51" s="316"/>
      <c r="Z51" s="26"/>
      <c r="AA51" s="26"/>
      <c r="AB51" s="27"/>
    </row>
    <row r="52" spans="2:28">
      <c r="B52" s="1273"/>
      <c r="C52" s="1331"/>
      <c r="D52" s="1274"/>
      <c r="E52" s="212"/>
      <c r="F52" s="214"/>
      <c r="G52" s="212"/>
      <c r="H52" s="214"/>
      <c r="I52" s="26"/>
      <c r="J52" s="26"/>
      <c r="K52" s="39" t="s">
        <v>479</v>
      </c>
      <c r="L52" s="102">
        <v>60</v>
      </c>
      <c r="M52" s="61"/>
      <c r="N52" s="316"/>
      <c r="O52" s="316"/>
      <c r="P52" s="316"/>
      <c r="Q52" s="316"/>
      <c r="R52" s="316"/>
      <c r="S52" s="316"/>
      <c r="T52" s="39" t="s">
        <v>479</v>
      </c>
      <c r="U52" s="102">
        <v>60</v>
      </c>
      <c r="V52" s="61"/>
      <c r="W52" s="316"/>
      <c r="X52" s="316"/>
      <c r="Y52" s="316"/>
      <c r="Z52" s="26"/>
      <c r="AA52" s="26"/>
      <c r="AB52" s="27"/>
    </row>
    <row r="53" spans="2:28" ht="13.15">
      <c r="B53" s="718"/>
      <c r="C53" s="316"/>
      <c r="D53" s="316"/>
      <c r="E53" s="723"/>
      <c r="F53" s="214"/>
      <c r="G53" s="212"/>
      <c r="H53" s="214"/>
      <c r="I53" s="26"/>
      <c r="J53" s="26"/>
      <c r="K53" s="39" t="s">
        <v>485</v>
      </c>
      <c r="L53" s="948">
        <v>2</v>
      </c>
      <c r="M53" s="839" t="str">
        <f>IF(L53&lt;0.4*L54,"FAIL, see T3.4.4","")</f>
        <v/>
      </c>
      <c r="N53" s="316"/>
      <c r="O53" s="316"/>
      <c r="P53" s="316"/>
      <c r="Q53" s="316"/>
      <c r="R53" s="316"/>
      <c r="S53" s="316"/>
      <c r="T53" s="39" t="s">
        <v>485</v>
      </c>
      <c r="U53" s="948">
        <v>2</v>
      </c>
      <c r="V53" s="839" t="str">
        <f>IF(U53&lt;0.4*U54,"FAIL, see T3.4.4","")</f>
        <v/>
      </c>
      <c r="W53" s="316"/>
      <c r="X53" s="316"/>
      <c r="Y53" s="316"/>
      <c r="Z53" s="26"/>
      <c r="AA53" s="26"/>
      <c r="AB53" s="27"/>
    </row>
    <row r="54" spans="2:28" s="104" customFormat="1" ht="12.75" customHeight="1">
      <c r="B54" s="724"/>
      <c r="C54" s="318"/>
      <c r="D54" s="318"/>
      <c r="E54" s="318"/>
      <c r="F54" s="26"/>
      <c r="G54" s="26"/>
      <c r="H54" s="26"/>
      <c r="I54" s="26"/>
      <c r="J54" s="26"/>
      <c r="K54" s="39" t="s">
        <v>485</v>
      </c>
      <c r="L54" s="948">
        <v>2</v>
      </c>
      <c r="M54" s="839" t="str">
        <f>IF(L54&lt;0.4*L53,"FAIL, see T3.4.4","")</f>
        <v/>
      </c>
      <c r="N54" s="316"/>
      <c r="O54" s="316"/>
      <c r="P54" s="316"/>
      <c r="Q54" s="316"/>
      <c r="R54" s="316"/>
      <c r="S54" s="316"/>
      <c r="T54" s="39" t="s">
        <v>485</v>
      </c>
      <c r="U54" s="948">
        <v>2</v>
      </c>
      <c r="V54" s="839" t="str">
        <f>IF(U54&lt;0.4*U53,"FAIL, see T3.4.4","")</f>
        <v/>
      </c>
      <c r="W54" s="316"/>
      <c r="X54" s="316"/>
      <c r="Y54" s="316"/>
      <c r="Z54" s="26"/>
      <c r="AA54" s="26"/>
      <c r="AB54" s="27"/>
    </row>
    <row r="55" spans="2:28" s="104" customFormat="1">
      <c r="B55" s="724"/>
      <c r="C55" s="318"/>
      <c r="D55" s="318"/>
      <c r="E55" s="318"/>
      <c r="F55" s="26"/>
      <c r="G55" s="26"/>
      <c r="H55" s="26"/>
      <c r="I55" s="26"/>
      <c r="J55" s="26"/>
      <c r="K55" s="39" t="s">
        <v>483</v>
      </c>
      <c r="L55" s="102">
        <v>50</v>
      </c>
      <c r="M55" s="382"/>
      <c r="N55" s="316"/>
      <c r="O55" s="316"/>
      <c r="P55" s="316"/>
      <c r="Q55" s="316"/>
      <c r="R55" s="316"/>
      <c r="S55" s="316"/>
      <c r="T55" s="39" t="s">
        <v>483</v>
      </c>
      <c r="U55" s="102">
        <v>50</v>
      </c>
      <c r="V55" s="382"/>
      <c r="W55" s="316"/>
      <c r="X55" s="316"/>
      <c r="Y55" s="316"/>
      <c r="Z55" s="26"/>
      <c r="AA55" s="26"/>
      <c r="AB55" s="27"/>
    </row>
    <row r="56" spans="2:28" s="104" customFormat="1" ht="13.15">
      <c r="B56" s="724"/>
      <c r="C56" s="318"/>
      <c r="D56" s="318"/>
      <c r="E56" s="318"/>
      <c r="F56" s="26"/>
      <c r="G56" s="26"/>
      <c r="H56" s="26"/>
      <c r="I56" s="26"/>
      <c r="J56" s="26"/>
      <c r="K56" s="335"/>
      <c r="L56" s="688"/>
      <c r="M56" s="731"/>
      <c r="N56" s="316"/>
      <c r="O56" s="316"/>
      <c r="P56" s="316"/>
      <c r="Q56" s="316"/>
      <c r="R56" s="316"/>
      <c r="S56" s="316"/>
      <c r="T56" s="335"/>
      <c r="U56" s="688"/>
      <c r="V56" s="731"/>
      <c r="W56" s="316"/>
      <c r="X56" s="26"/>
      <c r="Y56" s="26"/>
      <c r="Z56" s="26"/>
      <c r="AA56" s="26"/>
      <c r="AB56" s="27"/>
    </row>
    <row r="57" spans="2:28" s="104" customFormat="1">
      <c r="B57" s="724"/>
      <c r="C57" s="318"/>
      <c r="D57" s="318"/>
      <c r="E57" s="318"/>
      <c r="F57" s="26"/>
      <c r="G57" s="26"/>
      <c r="H57" s="26"/>
      <c r="I57" s="26"/>
      <c r="J57" s="316"/>
      <c r="K57" s="39" t="s">
        <v>487</v>
      </c>
      <c r="L57" s="62">
        <f>IF(OR(L37="Steel",L37="Aluminium 1",L37="Aluminium 2"),L39*L43*L45*0.001,(L39*L43+L41*L44)*L45*0.001)</f>
        <v>40</v>
      </c>
      <c r="M57" s="61" t="str">
        <f>IF(L57&gt;=30,"PASS","FAIL")</f>
        <v>PASS</v>
      </c>
      <c r="N57" s="316"/>
      <c r="O57" s="316"/>
      <c r="P57" s="316"/>
      <c r="Q57" s="318"/>
      <c r="R57" s="318"/>
      <c r="S57" s="26"/>
      <c r="T57" s="39" t="s">
        <v>487</v>
      </c>
      <c r="U57" s="62">
        <f>IF(OR(U37="Steel",U37="Aluminium 1",U37="Aluminium 2"),U39*U43*U45*0.001,(U39*U43+U41*U44)*U45*0.001)</f>
        <v>40</v>
      </c>
      <c r="V57" s="61" t="str">
        <f>IF(U57&gt;=30,"PASS","FAIL")</f>
        <v>PASS</v>
      </c>
      <c r="W57" s="26"/>
      <c r="X57" s="26"/>
      <c r="Y57" s="26"/>
      <c r="Z57" s="26"/>
      <c r="AA57" s="26"/>
      <c r="AB57" s="27"/>
    </row>
    <row r="58" spans="2:28" s="104" customFormat="1" ht="14.25">
      <c r="B58" s="724"/>
      <c r="C58" s="318"/>
      <c r="D58" s="318"/>
      <c r="E58" s="318"/>
      <c r="F58" s="26"/>
      <c r="G58" s="26"/>
      <c r="H58" s="26"/>
      <c r="I58" s="26"/>
      <c r="J58" s="726"/>
      <c r="K58" s="39" t="s">
        <v>487</v>
      </c>
      <c r="L58" s="62">
        <f>IF(OR(L47="Steel",L47="Aluminium 1",L47="Aluminium 2"),L49*L53*L55*0.001,((L49*L54)+(L51*L53))*L55*0.001)</f>
        <v>40</v>
      </c>
      <c r="M58" s="61" t="str">
        <f>IF(L58&gt;=30,"PASS","FAIL")</f>
        <v>PASS</v>
      </c>
      <c r="N58" s="316"/>
      <c r="O58" s="316"/>
      <c r="P58" s="316"/>
      <c r="Q58" s="318"/>
      <c r="R58" s="318"/>
      <c r="S58" s="26"/>
      <c r="T58" s="39" t="s">
        <v>487</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488</v>
      </c>
      <c r="L59" s="732">
        <f>IF(OR(L37="Steel",L37="Aluminium 1",L37="Aluminium 2"),L43*L42*L45*2*0.001,(L43+L44)*L42*L45*2*0.001)</f>
        <v>24</v>
      </c>
      <c r="M59" s="61" t="str">
        <f>IF(L59&gt;=30,"PASS","FAIL")</f>
        <v>FAIL</v>
      </c>
      <c r="N59" s="316"/>
      <c r="O59" s="316"/>
      <c r="P59" s="316"/>
      <c r="Q59" s="26"/>
      <c r="R59" s="26"/>
      <c r="S59" s="26"/>
      <c r="T59" s="67" t="s">
        <v>488</v>
      </c>
      <c r="U59" s="732">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488</v>
      </c>
      <c r="L60" s="693">
        <f>IF(OR(L47="Steel",L47="Aluminium 1",L47="Aluminium 2"),L53*L52*L55*2*0.001,(L53+L54)*L52*L55*2*0.001)</f>
        <v>24</v>
      </c>
      <c r="M60" s="60" t="str">
        <f>IF(L60&gt;=30,"PASS","FAIL")</f>
        <v>FAIL</v>
      </c>
      <c r="N60" s="316"/>
      <c r="O60" s="316"/>
      <c r="P60" s="316"/>
      <c r="Q60" s="26"/>
      <c r="R60" s="26"/>
      <c r="S60" s="26"/>
      <c r="T60" s="67" t="s">
        <v>488</v>
      </c>
      <c r="U60" s="693">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271" t="s">
        <v>553</v>
      </c>
      <c r="L61" s="1330"/>
      <c r="M61" s="1272"/>
      <c r="N61" s="316"/>
      <c r="O61" s="316"/>
      <c r="P61" s="316"/>
      <c r="Q61" s="26"/>
      <c r="R61" s="26"/>
      <c r="S61" s="26"/>
      <c r="T61" s="1271" t="s">
        <v>553</v>
      </c>
      <c r="U61" s="1330"/>
      <c r="V61" s="1272"/>
      <c r="W61" s="26"/>
      <c r="X61" s="26"/>
      <c r="Y61" s="26"/>
      <c r="Z61" s="26"/>
      <c r="AA61" s="26"/>
      <c r="AB61" s="27"/>
    </row>
    <row r="62" spans="2:28" s="104" customFormat="1">
      <c r="B62" s="25"/>
      <c r="C62" s="26"/>
      <c r="D62" s="26"/>
      <c r="E62" s="26"/>
      <c r="F62" s="26"/>
      <c r="G62" s="26"/>
      <c r="H62" s="26"/>
      <c r="I62" s="26"/>
      <c r="J62" s="26"/>
      <c r="K62" s="1273"/>
      <c r="L62" s="1331"/>
      <c r="M62" s="1274"/>
      <c r="N62" s="316"/>
      <c r="O62" s="316"/>
      <c r="P62" s="316"/>
      <c r="Q62" s="26"/>
      <c r="R62" s="26"/>
      <c r="S62" s="26"/>
      <c r="T62" s="1273"/>
      <c r="U62" s="1331"/>
      <c r="V62" s="1274"/>
      <c r="W62" s="26"/>
      <c r="X62" s="26"/>
      <c r="Y62" s="26"/>
      <c r="Z62" s="26"/>
      <c r="AA62" s="26"/>
      <c r="AB62" s="27"/>
    </row>
    <row r="63" spans="2:28" s="104" customFormat="1">
      <c r="B63" s="25"/>
      <c r="C63" s="26"/>
      <c r="D63" s="26"/>
      <c r="E63" s="26"/>
      <c r="F63" s="26"/>
      <c r="G63" s="26"/>
      <c r="H63" s="26"/>
      <c r="I63" s="26"/>
      <c r="J63" s="26"/>
      <c r="K63" s="725"/>
      <c r="L63" s="26"/>
      <c r="M63" s="26"/>
      <c r="N63" s="316"/>
      <c r="O63" s="316"/>
      <c r="P63" s="316"/>
      <c r="Q63" s="26"/>
      <c r="R63" s="26"/>
      <c r="S63" s="26"/>
      <c r="T63" s="718"/>
      <c r="U63" s="316"/>
      <c r="V63" s="316"/>
      <c r="W63" s="26"/>
      <c r="X63" s="26"/>
      <c r="Y63" s="26"/>
      <c r="Z63" s="26"/>
      <c r="AA63" s="26"/>
      <c r="AB63" s="27"/>
    </row>
    <row r="64" spans="2:28" s="104" customFormat="1">
      <c r="B64" s="25"/>
      <c r="C64" s="26"/>
      <c r="D64" s="26"/>
      <c r="E64" s="26"/>
      <c r="F64" s="26"/>
      <c r="G64" s="26"/>
      <c r="H64" s="26"/>
      <c r="I64" s="26"/>
      <c r="J64" s="214"/>
      <c r="K64" s="725"/>
      <c r="L64" s="26"/>
      <c r="M64" s="26"/>
      <c r="N64" s="316"/>
      <c r="O64" s="316"/>
      <c r="P64" s="316"/>
      <c r="Q64" s="26"/>
      <c r="R64" s="26"/>
      <c r="S64" s="26"/>
      <c r="T64" s="718"/>
      <c r="U64" s="316"/>
      <c r="V64" s="316"/>
      <c r="W64" s="26"/>
      <c r="X64" s="26"/>
      <c r="Y64" s="26"/>
      <c r="Z64" s="26"/>
      <c r="AA64" s="26"/>
      <c r="AB64" s="27"/>
    </row>
    <row r="65" spans="2:28" s="104" customFormat="1">
      <c r="B65" s="25"/>
      <c r="C65" s="26"/>
      <c r="D65" s="26"/>
      <c r="E65" s="26"/>
      <c r="F65" s="26"/>
      <c r="G65" s="26"/>
      <c r="H65" s="26"/>
      <c r="I65" s="26"/>
      <c r="J65" s="26"/>
      <c r="K65" s="725"/>
      <c r="L65" s="26"/>
      <c r="M65" s="26"/>
      <c r="N65" s="26"/>
      <c r="O65" s="26"/>
      <c r="P65" s="26"/>
      <c r="Q65" s="26"/>
      <c r="R65" s="26"/>
      <c r="S65" s="26"/>
      <c r="T65" s="718"/>
      <c r="U65" s="316"/>
      <c r="V65" s="316"/>
      <c r="W65" s="26"/>
      <c r="X65" s="26"/>
      <c r="Y65" s="26"/>
      <c r="Z65" s="26"/>
      <c r="AA65" s="26"/>
      <c r="AB65" s="27"/>
    </row>
    <row r="66" spans="2:28" s="104" customFormat="1">
      <c r="B66" s="25"/>
      <c r="C66" s="26"/>
      <c r="D66" s="26"/>
      <c r="E66" s="26"/>
      <c r="F66" s="26"/>
      <c r="G66" s="26"/>
      <c r="H66" s="26"/>
      <c r="I66" s="26"/>
      <c r="J66" s="26"/>
      <c r="K66" s="725"/>
      <c r="L66" s="26"/>
      <c r="M66" s="26"/>
      <c r="N66" s="26"/>
      <c r="O66" s="26"/>
      <c r="P66" s="26"/>
      <c r="Q66" s="26"/>
      <c r="R66" s="26"/>
      <c r="S66" s="26"/>
      <c r="T66" s="718"/>
      <c r="U66" s="316"/>
      <c r="V66" s="316"/>
      <c r="W66" s="26"/>
      <c r="X66" s="26"/>
      <c r="Y66" s="26"/>
      <c r="Z66" s="26"/>
      <c r="AA66" s="26"/>
      <c r="AB66" s="638"/>
    </row>
    <row r="67" spans="2:28" s="104" customFormat="1">
      <c r="B67" s="25"/>
      <c r="C67" s="26"/>
      <c r="D67" s="26"/>
      <c r="E67" s="26"/>
      <c r="F67" s="26"/>
      <c r="G67" s="26"/>
      <c r="H67" s="26"/>
      <c r="I67" s="26"/>
      <c r="J67" s="26"/>
      <c r="K67" s="725"/>
      <c r="L67" s="26"/>
      <c r="M67" s="26"/>
      <c r="N67" s="26"/>
      <c r="O67" s="26"/>
      <c r="P67" s="26"/>
      <c r="Q67" s="26"/>
      <c r="R67" s="26"/>
      <c r="S67" s="26"/>
      <c r="T67" s="725"/>
      <c r="U67" s="26"/>
      <c r="V67" s="26"/>
      <c r="W67" s="26"/>
      <c r="X67" s="26"/>
      <c r="Y67" s="26"/>
      <c r="Z67" s="26"/>
      <c r="AA67" s="26"/>
      <c r="AB67" s="638"/>
    </row>
    <row r="68" spans="2:28" s="104" customFormat="1">
      <c r="B68" s="25"/>
      <c r="C68" s="26"/>
      <c r="D68" s="26"/>
      <c r="E68" s="26"/>
      <c r="F68" s="26"/>
      <c r="G68" s="26"/>
      <c r="H68" s="26"/>
      <c r="I68" s="26"/>
      <c r="J68" s="214"/>
      <c r="K68" s="725"/>
      <c r="L68" s="26"/>
      <c r="M68" s="26"/>
      <c r="N68" s="26"/>
      <c r="O68" s="26"/>
      <c r="P68" s="26"/>
      <c r="Q68" s="26"/>
      <c r="R68" s="26"/>
      <c r="S68" s="26"/>
      <c r="T68" s="725"/>
      <c r="U68" s="26"/>
      <c r="V68" s="26"/>
      <c r="W68" s="26"/>
      <c r="X68" s="26"/>
      <c r="Y68" s="26"/>
      <c r="Z68" s="26"/>
      <c r="AA68" s="26"/>
      <c r="AB68" s="638"/>
    </row>
    <row r="69" spans="2:28" s="104" customFormat="1">
      <c r="B69" s="25"/>
      <c r="C69" s="26"/>
      <c r="D69" s="26"/>
      <c r="E69" s="26"/>
      <c r="F69" s="26"/>
      <c r="G69" s="26"/>
      <c r="H69" s="26"/>
      <c r="I69" s="26"/>
      <c r="J69" s="26"/>
      <c r="K69" s="725"/>
      <c r="L69" s="26"/>
      <c r="M69" s="26"/>
      <c r="N69" s="26"/>
      <c r="O69" s="26"/>
      <c r="P69" s="26"/>
      <c r="Q69" s="26"/>
      <c r="R69" s="26"/>
      <c r="S69" s="26"/>
      <c r="T69" s="725"/>
      <c r="U69" s="26"/>
      <c r="V69" s="26"/>
      <c r="W69" s="26"/>
      <c r="X69" s="26"/>
      <c r="Y69" s="26"/>
      <c r="Z69" s="26"/>
      <c r="AA69" s="26"/>
      <c r="AB69" s="638"/>
    </row>
    <row r="70" spans="2:28" s="104" customFormat="1">
      <c r="B70" s="25"/>
      <c r="C70" s="26"/>
      <c r="D70" s="26"/>
      <c r="E70" s="26"/>
      <c r="F70" s="26"/>
      <c r="G70" s="26"/>
      <c r="H70" s="26"/>
      <c r="I70" s="26"/>
      <c r="J70" s="26"/>
      <c r="K70" s="725"/>
      <c r="L70" s="26"/>
      <c r="M70" s="26"/>
      <c r="N70" s="26"/>
      <c r="O70" s="26"/>
      <c r="P70" s="26"/>
      <c r="Q70" s="26"/>
      <c r="R70" s="26"/>
      <c r="S70" s="26"/>
      <c r="T70" s="725"/>
      <c r="U70" s="26"/>
      <c r="V70" s="26"/>
      <c r="W70" s="26"/>
      <c r="X70" s="26"/>
      <c r="Y70" s="26"/>
      <c r="Z70" s="26"/>
      <c r="AA70" s="26"/>
      <c r="AB70" s="638"/>
    </row>
    <row r="71" spans="2:28" s="104" customFormat="1">
      <c r="B71" s="25"/>
      <c r="C71" s="26"/>
      <c r="D71" s="26"/>
      <c r="E71" s="26"/>
      <c r="F71" s="26"/>
      <c r="G71" s="26"/>
      <c r="H71" s="26"/>
      <c r="I71" s="26"/>
      <c r="J71" s="26"/>
      <c r="K71" s="725"/>
      <c r="L71" s="26"/>
      <c r="M71" s="26"/>
      <c r="N71" s="26"/>
      <c r="O71" s="26"/>
      <c r="P71" s="26"/>
      <c r="Q71" s="26"/>
      <c r="R71" s="26"/>
      <c r="S71" s="26"/>
      <c r="T71" s="725"/>
      <c r="U71" s="26"/>
      <c r="V71" s="26"/>
      <c r="W71" s="26"/>
      <c r="X71" s="26"/>
      <c r="Y71" s="26"/>
      <c r="Z71" s="26"/>
      <c r="AA71" s="26"/>
      <c r="AB71" s="638"/>
    </row>
    <row r="72" spans="2:28" s="104" customFormat="1">
      <c r="B72" s="25"/>
      <c r="C72" s="26"/>
      <c r="D72" s="26"/>
      <c r="E72" s="26"/>
      <c r="F72" s="26"/>
      <c r="G72" s="26"/>
      <c r="H72" s="26"/>
      <c r="I72" s="26"/>
      <c r="J72" s="26"/>
      <c r="K72" s="725"/>
      <c r="L72" s="26"/>
      <c r="M72" s="26"/>
      <c r="N72" s="26"/>
      <c r="O72" s="26"/>
      <c r="P72" s="26"/>
      <c r="Q72" s="26"/>
      <c r="R72" s="26"/>
      <c r="S72" s="26"/>
      <c r="T72" s="725"/>
      <c r="U72" s="26"/>
      <c r="V72" s="26"/>
      <c r="W72" s="26"/>
      <c r="X72" s="26"/>
      <c r="Y72" s="26"/>
      <c r="Z72" s="26"/>
      <c r="AA72" s="26"/>
      <c r="AB72" s="638"/>
    </row>
    <row r="73" spans="2:28" s="104" customFormat="1">
      <c r="B73" s="25"/>
      <c r="C73" s="26"/>
      <c r="D73" s="26"/>
      <c r="E73" s="26"/>
      <c r="F73" s="26"/>
      <c r="G73" s="26"/>
      <c r="H73" s="26"/>
      <c r="I73" s="26"/>
      <c r="J73" s="26"/>
      <c r="K73" s="725"/>
      <c r="L73" s="26"/>
      <c r="M73" s="26"/>
      <c r="N73" s="26"/>
      <c r="O73" s="26"/>
      <c r="P73" s="26"/>
      <c r="Q73" s="26"/>
      <c r="R73" s="26"/>
      <c r="S73" s="26"/>
      <c r="T73" s="725"/>
      <c r="U73" s="26"/>
      <c r="V73" s="26"/>
      <c r="W73" s="26"/>
      <c r="X73" s="26"/>
      <c r="Y73" s="26"/>
      <c r="Z73" s="26"/>
      <c r="AA73" s="26"/>
      <c r="AB73" s="638"/>
    </row>
    <row r="74" spans="2:28" s="104" customFormat="1">
      <c r="B74" s="25"/>
      <c r="C74" s="26"/>
      <c r="D74" s="26"/>
      <c r="E74" s="26"/>
      <c r="F74" s="26"/>
      <c r="G74" s="26"/>
      <c r="H74" s="26"/>
      <c r="I74" s="26"/>
      <c r="J74" s="26"/>
      <c r="K74" s="725"/>
      <c r="L74" s="26"/>
      <c r="M74" s="26"/>
      <c r="N74" s="26"/>
      <c r="O74" s="26"/>
      <c r="P74" s="26"/>
      <c r="Q74" s="26"/>
      <c r="R74" s="26"/>
      <c r="S74" s="26"/>
      <c r="T74" s="725"/>
      <c r="U74" s="26"/>
      <c r="V74" s="26"/>
      <c r="W74" s="26"/>
      <c r="X74" s="26"/>
      <c r="Y74" s="26"/>
      <c r="Z74" s="26"/>
      <c r="AA74" s="26"/>
      <c r="AB74" s="638"/>
    </row>
    <row r="75" spans="2:28" s="104" customFormat="1">
      <c r="B75" s="25"/>
      <c r="C75" s="26"/>
      <c r="D75" s="26"/>
      <c r="E75" s="26"/>
      <c r="F75" s="26"/>
      <c r="G75" s="26"/>
      <c r="H75" s="26"/>
      <c r="I75" s="26"/>
      <c r="J75" s="26"/>
      <c r="K75" s="725"/>
      <c r="L75" s="26"/>
      <c r="M75" s="26"/>
      <c r="N75" s="26"/>
      <c r="O75" s="26"/>
      <c r="P75" s="26"/>
      <c r="Q75" s="26"/>
      <c r="R75" s="26"/>
      <c r="S75" s="26"/>
      <c r="T75" s="725"/>
      <c r="U75" s="26"/>
      <c r="V75" s="26"/>
      <c r="W75" s="26"/>
      <c r="X75" s="26"/>
      <c r="Y75" s="26"/>
      <c r="Z75" s="26"/>
      <c r="AA75" s="26"/>
      <c r="AB75" s="638"/>
    </row>
    <row r="76" spans="2:28" s="104" customFormat="1">
      <c r="B76" s="25"/>
      <c r="C76" s="26"/>
      <c r="D76" s="26"/>
      <c r="E76" s="26"/>
      <c r="F76" s="26"/>
      <c r="G76" s="26"/>
      <c r="H76" s="26"/>
      <c r="I76" s="26"/>
      <c r="J76" s="26"/>
      <c r="K76" s="725"/>
      <c r="L76" s="26"/>
      <c r="M76" s="26"/>
      <c r="N76" s="26"/>
      <c r="O76" s="26"/>
      <c r="P76" s="26"/>
      <c r="Q76" s="26"/>
      <c r="R76" s="26"/>
      <c r="S76" s="26"/>
      <c r="T76" s="725"/>
      <c r="U76" s="26"/>
      <c r="V76" s="26"/>
      <c r="W76" s="26"/>
      <c r="X76" s="26"/>
      <c r="Y76" s="26"/>
      <c r="Z76" s="26"/>
      <c r="AA76" s="26"/>
      <c r="AB76" s="638"/>
    </row>
    <row r="77" spans="2:28" s="104" customFormat="1">
      <c r="B77" s="25"/>
      <c r="C77" s="26"/>
      <c r="D77" s="26"/>
      <c r="E77" s="26"/>
      <c r="F77" s="26"/>
      <c r="G77" s="26"/>
      <c r="H77" s="26"/>
      <c r="I77" s="26"/>
      <c r="J77" s="26"/>
      <c r="K77" s="725"/>
      <c r="L77" s="26"/>
      <c r="M77" s="26"/>
      <c r="N77" s="26"/>
      <c r="O77" s="26"/>
      <c r="P77" s="26"/>
      <c r="Q77" s="26"/>
      <c r="R77" s="26"/>
      <c r="S77" s="26"/>
      <c r="T77" s="725"/>
      <c r="U77" s="26"/>
      <c r="V77" s="26"/>
      <c r="W77" s="26"/>
      <c r="X77" s="26"/>
      <c r="Y77" s="26"/>
      <c r="Z77" s="26"/>
      <c r="AA77" s="26"/>
      <c r="AB77" s="638"/>
    </row>
    <row r="78" spans="2:28" s="104" customFormat="1">
      <c r="B78" s="25"/>
      <c r="C78" s="26"/>
      <c r="D78" s="26"/>
      <c r="E78" s="26"/>
      <c r="F78" s="26"/>
      <c r="G78" s="26"/>
      <c r="H78" s="26"/>
      <c r="I78" s="26"/>
      <c r="J78" s="26"/>
      <c r="K78" s="725"/>
      <c r="L78" s="26"/>
      <c r="M78" s="26"/>
      <c r="N78" s="26"/>
      <c r="O78" s="26"/>
      <c r="P78" s="26"/>
      <c r="Q78" s="26"/>
      <c r="R78" s="26"/>
      <c r="S78" s="26"/>
      <c r="T78" s="725"/>
      <c r="U78" s="26"/>
      <c r="V78" s="26"/>
      <c r="W78" s="26"/>
      <c r="X78" s="26"/>
      <c r="Y78" s="26"/>
      <c r="Z78" s="26"/>
      <c r="AA78" s="26"/>
      <c r="AB78" s="638"/>
    </row>
    <row r="79" spans="2:28" s="104" customFormat="1">
      <c r="B79" s="725"/>
      <c r="C79" s="26"/>
      <c r="D79" s="26"/>
      <c r="E79" s="26"/>
      <c r="F79" s="26"/>
      <c r="G79" s="26"/>
      <c r="H79" s="26"/>
      <c r="I79" s="26"/>
      <c r="J79" s="26"/>
      <c r="K79" s="725"/>
      <c r="L79" s="26"/>
      <c r="M79" s="26"/>
      <c r="N79" s="26"/>
      <c r="O79" s="26"/>
      <c r="P79" s="26"/>
      <c r="Q79" s="26"/>
      <c r="R79" s="26"/>
      <c r="S79" s="26"/>
      <c r="T79" s="725"/>
      <c r="U79" s="26"/>
      <c r="V79" s="26"/>
      <c r="W79" s="26"/>
      <c r="X79" s="26"/>
      <c r="Y79" s="26"/>
      <c r="Z79" s="26"/>
      <c r="AA79" s="26"/>
      <c r="AB79" s="638"/>
    </row>
    <row r="80" spans="2:28" s="104" customFormat="1">
      <c r="B80" s="725"/>
      <c r="C80" s="26"/>
      <c r="D80" s="26"/>
      <c r="E80" s="26"/>
      <c r="F80" s="26"/>
      <c r="G80" s="26"/>
      <c r="H80" s="26"/>
      <c r="I80" s="26"/>
      <c r="J80" s="26"/>
      <c r="K80" s="725"/>
      <c r="L80" s="26"/>
      <c r="M80" s="26"/>
      <c r="N80" s="26"/>
      <c r="O80" s="26"/>
      <c r="P80" s="26"/>
      <c r="Q80" s="26"/>
      <c r="R80" s="26"/>
      <c r="S80" s="26"/>
      <c r="T80" s="725"/>
      <c r="U80" s="26"/>
      <c r="V80" s="26"/>
      <c r="W80" s="26"/>
      <c r="X80" s="26"/>
      <c r="Y80" s="26"/>
      <c r="Z80" s="26"/>
      <c r="AA80" s="26"/>
      <c r="AB80" s="638"/>
    </row>
    <row r="81" spans="2:28" s="104" customFormat="1">
      <c r="B81" s="725"/>
      <c r="C81" s="26"/>
      <c r="D81" s="26"/>
      <c r="E81" s="26"/>
      <c r="F81" s="26"/>
      <c r="G81" s="26"/>
      <c r="H81" s="26"/>
      <c r="I81" s="26"/>
      <c r="J81" s="26"/>
      <c r="K81" s="725"/>
      <c r="L81" s="26"/>
      <c r="M81" s="26"/>
      <c r="N81" s="26"/>
      <c r="O81" s="26"/>
      <c r="P81" s="26"/>
      <c r="Q81" s="26"/>
      <c r="R81" s="26"/>
      <c r="S81" s="26"/>
      <c r="T81" s="725"/>
      <c r="U81" s="26"/>
      <c r="V81" s="26"/>
      <c r="W81" s="26"/>
      <c r="X81" s="26"/>
      <c r="Y81" s="26"/>
      <c r="Z81" s="26"/>
      <c r="AA81" s="26"/>
      <c r="AB81" s="638"/>
    </row>
    <row r="82" spans="2:28" s="104" customFormat="1">
      <c r="B82" s="725"/>
      <c r="C82" s="26"/>
      <c r="D82" s="26"/>
      <c r="E82" s="26"/>
      <c r="F82" s="26"/>
      <c r="G82" s="26"/>
      <c r="H82" s="26"/>
      <c r="I82" s="26"/>
      <c r="J82" s="26"/>
      <c r="K82" s="725"/>
      <c r="L82" s="26"/>
      <c r="M82" s="26"/>
      <c r="N82" s="26"/>
      <c r="O82" s="26"/>
      <c r="P82" s="26"/>
      <c r="Q82" s="26"/>
      <c r="R82" s="26"/>
      <c r="S82" s="26"/>
      <c r="T82" s="725"/>
      <c r="U82" s="26"/>
      <c r="V82" s="26"/>
      <c r="W82" s="26"/>
      <c r="X82" s="26"/>
      <c r="Y82" s="26"/>
      <c r="Z82" s="26"/>
      <c r="AA82" s="26"/>
      <c r="AB82" s="638"/>
    </row>
    <row r="83" spans="2:28" s="104" customFormat="1">
      <c r="B83" s="725"/>
      <c r="C83" s="26"/>
      <c r="D83" s="26"/>
      <c r="E83" s="26"/>
      <c r="F83" s="26"/>
      <c r="G83" s="26"/>
      <c r="H83" s="26"/>
      <c r="I83" s="26"/>
      <c r="J83" s="26"/>
      <c r="K83" s="725"/>
      <c r="L83" s="26"/>
      <c r="M83" s="26"/>
      <c r="N83" s="26"/>
      <c r="O83" s="26"/>
      <c r="P83" s="26"/>
      <c r="Q83" s="26"/>
      <c r="R83" s="26"/>
      <c r="S83" s="26"/>
      <c r="T83" s="725"/>
      <c r="U83" s="26"/>
      <c r="V83" s="26"/>
      <c r="W83" s="26"/>
      <c r="X83" s="26"/>
      <c r="Y83" s="26"/>
      <c r="Z83" s="26"/>
      <c r="AA83" s="26"/>
      <c r="AB83" s="638"/>
    </row>
    <row r="84" spans="2:28" s="104" customFormat="1">
      <c r="B84" s="725"/>
      <c r="C84" s="26"/>
      <c r="D84" s="26"/>
      <c r="E84" s="26"/>
      <c r="F84" s="26"/>
      <c r="G84" s="26"/>
      <c r="H84" s="26"/>
      <c r="I84" s="26"/>
      <c r="J84" s="26"/>
      <c r="K84" s="725"/>
      <c r="L84" s="26"/>
      <c r="M84" s="26"/>
      <c r="N84" s="26"/>
      <c r="O84" s="26"/>
      <c r="P84" s="26"/>
      <c r="Q84" s="26"/>
      <c r="R84" s="26"/>
      <c r="S84" s="26"/>
      <c r="T84" s="725"/>
      <c r="U84" s="26"/>
      <c r="V84" s="26"/>
      <c r="W84" s="26"/>
      <c r="X84" s="26"/>
      <c r="Y84" s="26"/>
      <c r="Z84" s="26"/>
      <c r="AA84" s="26"/>
      <c r="AB84" s="638"/>
    </row>
    <row r="85" spans="2:28" s="104" customFormat="1">
      <c r="B85" s="725"/>
      <c r="C85" s="26"/>
      <c r="D85" s="26"/>
      <c r="E85" s="26"/>
      <c r="F85" s="26"/>
      <c r="G85" s="26"/>
      <c r="H85" s="26"/>
      <c r="I85" s="26"/>
      <c r="J85" s="26"/>
      <c r="K85" s="725"/>
      <c r="L85" s="26"/>
      <c r="M85" s="26"/>
      <c r="N85" s="26"/>
      <c r="O85" s="26"/>
      <c r="P85" s="26"/>
      <c r="Q85" s="26"/>
      <c r="R85" s="26"/>
      <c r="S85" s="26"/>
      <c r="T85" s="725"/>
      <c r="U85" s="26"/>
      <c r="V85" s="26"/>
      <c r="W85" s="26"/>
      <c r="X85" s="26"/>
      <c r="Y85" s="26"/>
      <c r="Z85" s="26"/>
      <c r="AA85" s="26"/>
      <c r="AB85" s="638"/>
    </row>
    <row r="86" spans="2:28" s="104" customFormat="1">
      <c r="B86" s="725"/>
      <c r="C86" s="26"/>
      <c r="D86" s="26"/>
      <c r="E86" s="26"/>
      <c r="F86" s="26"/>
      <c r="G86" s="26"/>
      <c r="H86" s="26"/>
      <c r="I86" s="26"/>
      <c r="J86" s="26"/>
      <c r="K86" s="725"/>
      <c r="L86" s="26"/>
      <c r="M86" s="26"/>
      <c r="N86" s="26"/>
      <c r="O86" s="26"/>
      <c r="P86" s="26"/>
      <c r="Q86" s="26"/>
      <c r="R86" s="26"/>
      <c r="S86" s="26"/>
      <c r="T86" s="725"/>
      <c r="U86" s="26"/>
      <c r="V86" s="26"/>
      <c r="W86" s="26"/>
      <c r="X86" s="26"/>
      <c r="Y86" s="26"/>
      <c r="Z86" s="26"/>
      <c r="AA86" s="26"/>
      <c r="AB86" s="638"/>
    </row>
    <row r="87" spans="2:28" s="104" customFormat="1">
      <c r="B87" s="725"/>
      <c r="C87" s="26"/>
      <c r="D87" s="26"/>
      <c r="E87" s="26"/>
      <c r="F87" s="26"/>
      <c r="G87" s="26"/>
      <c r="H87" s="26"/>
      <c r="I87" s="26"/>
      <c r="J87" s="26"/>
      <c r="K87" s="725"/>
      <c r="L87" s="26"/>
      <c r="M87" s="26"/>
      <c r="N87" s="26"/>
      <c r="O87" s="26"/>
      <c r="P87" s="26"/>
      <c r="Q87" s="26"/>
      <c r="R87" s="26"/>
      <c r="S87" s="26"/>
      <c r="T87" s="725"/>
      <c r="U87" s="26"/>
      <c r="V87" s="26"/>
      <c r="W87" s="26"/>
      <c r="X87" s="26"/>
      <c r="Y87" s="26"/>
      <c r="Z87" s="26"/>
      <c r="AA87" s="26"/>
      <c r="AB87" s="638"/>
    </row>
    <row r="88" spans="2:28" s="104" customFormat="1">
      <c r="B88" s="725"/>
      <c r="C88" s="26"/>
      <c r="D88" s="26"/>
      <c r="E88" s="26"/>
      <c r="F88" s="26"/>
      <c r="G88" s="26"/>
      <c r="H88" s="26"/>
      <c r="I88" s="26"/>
      <c r="J88" s="26"/>
      <c r="K88" s="725"/>
      <c r="L88" s="26"/>
      <c r="M88" s="26"/>
      <c r="N88" s="26"/>
      <c r="O88" s="26"/>
      <c r="P88" s="26"/>
      <c r="Q88" s="26"/>
      <c r="R88" s="26"/>
      <c r="S88" s="26"/>
      <c r="T88" s="725"/>
      <c r="U88" s="26"/>
      <c r="V88" s="26"/>
      <c r="W88" s="26"/>
      <c r="X88" s="26"/>
      <c r="Y88" s="26"/>
      <c r="Z88" s="26"/>
      <c r="AA88" s="26"/>
      <c r="AB88" s="638"/>
    </row>
    <row r="89" spans="2:28" s="104" customFormat="1">
      <c r="B89" s="725"/>
      <c r="C89" s="26"/>
      <c r="D89" s="26"/>
      <c r="E89" s="26"/>
      <c r="F89" s="26"/>
      <c r="G89" s="26"/>
      <c r="H89" s="26"/>
      <c r="I89" s="26"/>
      <c r="J89" s="26"/>
      <c r="K89" s="725"/>
      <c r="L89" s="26"/>
      <c r="M89" s="26"/>
      <c r="N89" s="26"/>
      <c r="O89" s="26"/>
      <c r="P89" s="26"/>
      <c r="Q89" s="26"/>
      <c r="R89" s="26"/>
      <c r="S89" s="26"/>
      <c r="T89" s="725"/>
      <c r="U89" s="26"/>
      <c r="V89" s="26"/>
      <c r="W89" s="26"/>
      <c r="X89" s="26"/>
      <c r="Y89" s="26"/>
      <c r="Z89" s="26"/>
      <c r="AA89" s="26"/>
      <c r="AB89" s="638"/>
    </row>
    <row r="90" spans="2:28" s="104" customFormat="1">
      <c r="B90" s="725"/>
      <c r="C90" s="26"/>
      <c r="D90" s="26"/>
      <c r="E90" s="26"/>
      <c r="F90" s="26"/>
      <c r="G90" s="26"/>
      <c r="H90" s="26"/>
      <c r="I90" s="26"/>
      <c r="J90" s="26"/>
      <c r="K90" s="725"/>
      <c r="L90" s="26"/>
      <c r="M90" s="26"/>
      <c r="N90" s="26"/>
      <c r="O90" s="26"/>
      <c r="P90" s="26"/>
      <c r="Q90" s="26"/>
      <c r="R90" s="26"/>
      <c r="S90" s="26"/>
      <c r="T90" s="725"/>
      <c r="U90" s="26"/>
      <c r="V90" s="26"/>
      <c r="W90" s="26"/>
      <c r="X90" s="26"/>
      <c r="Y90" s="26"/>
      <c r="Z90" s="26"/>
      <c r="AA90" s="26"/>
      <c r="AB90" s="638"/>
    </row>
    <row r="91" spans="2:28" s="104" customFormat="1">
      <c r="B91" s="725"/>
      <c r="C91" s="26"/>
      <c r="D91" s="26"/>
      <c r="E91" s="26"/>
      <c r="F91" s="26"/>
      <c r="G91" s="26"/>
      <c r="H91" s="26"/>
      <c r="I91" s="26"/>
      <c r="J91" s="26"/>
      <c r="K91" s="725"/>
      <c r="L91" s="26"/>
      <c r="M91" s="26"/>
      <c r="N91" s="26"/>
      <c r="O91" s="26"/>
      <c r="P91" s="26"/>
      <c r="Q91" s="26"/>
      <c r="R91" s="26"/>
      <c r="S91" s="26"/>
      <c r="T91" s="725"/>
      <c r="U91" s="26"/>
      <c r="V91" s="26"/>
      <c r="W91" s="26"/>
      <c r="X91" s="26"/>
      <c r="Y91" s="26"/>
      <c r="Z91" s="26"/>
      <c r="AA91" s="26"/>
      <c r="AB91" s="638"/>
    </row>
    <row r="92" spans="2:28" s="104" customFormat="1">
      <c r="B92" s="725"/>
      <c r="C92" s="26"/>
      <c r="D92" s="26"/>
      <c r="E92" s="26"/>
      <c r="F92" s="26"/>
      <c r="G92" s="26"/>
      <c r="H92" s="26"/>
      <c r="I92" s="26"/>
      <c r="J92" s="26"/>
      <c r="K92" s="725"/>
      <c r="L92" s="26"/>
      <c r="M92" s="26"/>
      <c r="N92" s="26"/>
      <c r="O92" s="26"/>
      <c r="P92" s="26"/>
      <c r="Q92" s="26"/>
      <c r="R92" s="26"/>
      <c r="S92" s="26"/>
      <c r="T92" s="725"/>
      <c r="U92" s="26"/>
      <c r="V92" s="26"/>
      <c r="W92" s="26"/>
      <c r="X92" s="26"/>
      <c r="Y92" s="26"/>
      <c r="Z92" s="26"/>
      <c r="AA92" s="26"/>
      <c r="AB92" s="638"/>
    </row>
    <row r="93" spans="2:28" s="104" customFormat="1">
      <c r="B93" s="725"/>
      <c r="C93" s="26"/>
      <c r="D93" s="26"/>
      <c r="E93" s="26"/>
      <c r="F93" s="26"/>
      <c r="G93" s="26"/>
      <c r="H93" s="26"/>
      <c r="I93" s="26"/>
      <c r="J93" s="26"/>
      <c r="K93" s="725"/>
      <c r="L93" s="26"/>
      <c r="M93" s="26"/>
      <c r="N93" s="26"/>
      <c r="O93" s="26"/>
      <c r="P93" s="26"/>
      <c r="Q93" s="26"/>
      <c r="R93" s="26"/>
      <c r="S93" s="26"/>
      <c r="T93" s="725"/>
      <c r="U93" s="26"/>
      <c r="V93" s="26"/>
      <c r="W93" s="26"/>
      <c r="X93" s="26"/>
      <c r="Y93" s="26"/>
      <c r="Z93" s="26"/>
      <c r="AA93" s="26"/>
      <c r="AB93" s="638"/>
    </row>
    <row r="94" spans="2:28" s="104" customFormat="1">
      <c r="B94" s="725"/>
      <c r="C94" s="26"/>
      <c r="D94" s="26"/>
      <c r="E94" s="26"/>
      <c r="F94" s="26"/>
      <c r="G94" s="26"/>
      <c r="H94" s="26"/>
      <c r="I94" s="26"/>
      <c r="J94" s="26"/>
      <c r="K94" s="725"/>
      <c r="L94" s="26"/>
      <c r="M94" s="26"/>
      <c r="N94" s="26"/>
      <c r="O94" s="26"/>
      <c r="P94" s="26"/>
      <c r="Q94" s="26"/>
      <c r="R94" s="26"/>
      <c r="S94" s="26"/>
      <c r="T94" s="725"/>
      <c r="U94" s="26"/>
      <c r="V94" s="26"/>
      <c r="W94" s="26"/>
      <c r="X94" s="26"/>
      <c r="Y94" s="26"/>
      <c r="Z94" s="26"/>
      <c r="AA94" s="26"/>
      <c r="AB94" s="638"/>
    </row>
    <row r="95" spans="2:28" s="104" customFormat="1">
      <c r="B95" s="725"/>
      <c r="C95" s="26"/>
      <c r="D95" s="26"/>
      <c r="E95" s="26"/>
      <c r="F95" s="26"/>
      <c r="G95" s="26"/>
      <c r="H95" s="26"/>
      <c r="I95" s="26"/>
      <c r="J95" s="26"/>
      <c r="K95" s="725"/>
      <c r="L95" s="26"/>
      <c r="M95" s="26"/>
      <c r="N95" s="26"/>
      <c r="O95" s="26"/>
      <c r="P95" s="26"/>
      <c r="Q95" s="26"/>
      <c r="R95" s="26"/>
      <c r="S95" s="26"/>
      <c r="T95" s="725"/>
      <c r="U95" s="26"/>
      <c r="V95" s="26"/>
      <c r="W95" s="26"/>
      <c r="X95" s="26"/>
      <c r="Y95" s="26"/>
      <c r="Z95" s="26"/>
      <c r="AA95" s="26"/>
      <c r="AB95" s="638"/>
    </row>
    <row r="96" spans="2:28" s="104" customFormat="1">
      <c r="B96" s="725"/>
      <c r="C96" s="26"/>
      <c r="D96" s="26"/>
      <c r="E96" s="26"/>
      <c r="F96" s="26"/>
      <c r="G96" s="26"/>
      <c r="H96" s="26"/>
      <c r="I96" s="26"/>
      <c r="J96" s="26"/>
      <c r="K96" s="725"/>
      <c r="L96" s="26"/>
      <c r="M96" s="26"/>
      <c r="N96" s="26"/>
      <c r="O96" s="26"/>
      <c r="P96" s="26"/>
      <c r="Q96" s="26"/>
      <c r="R96" s="26"/>
      <c r="S96" s="26"/>
      <c r="T96" s="725"/>
      <c r="U96" s="26"/>
      <c r="V96" s="26"/>
      <c r="W96" s="26"/>
      <c r="X96" s="26"/>
      <c r="Y96" s="26"/>
      <c r="Z96" s="26"/>
      <c r="AA96" s="26"/>
      <c r="AB96" s="638"/>
    </row>
    <row r="97" spans="2:28" s="104" customFormat="1">
      <c r="B97" s="725"/>
      <c r="C97" s="26"/>
      <c r="D97" s="26"/>
      <c r="E97" s="26"/>
      <c r="F97" s="26"/>
      <c r="G97" s="26"/>
      <c r="H97" s="26"/>
      <c r="I97" s="26"/>
      <c r="J97" s="26"/>
      <c r="K97" s="725"/>
      <c r="L97" s="26"/>
      <c r="M97" s="26"/>
      <c r="N97" s="26"/>
      <c r="O97" s="26"/>
      <c r="P97" s="26"/>
      <c r="Q97" s="26"/>
      <c r="R97" s="26"/>
      <c r="S97" s="26"/>
      <c r="T97" s="725"/>
      <c r="U97" s="26"/>
      <c r="V97" s="26"/>
      <c r="W97" s="26"/>
      <c r="X97" s="26"/>
      <c r="Y97" s="26"/>
      <c r="Z97" s="26"/>
      <c r="AA97" s="26"/>
      <c r="AB97" s="638"/>
    </row>
    <row r="98" spans="2:28" s="104" customFormat="1">
      <c r="B98" s="725"/>
      <c r="C98" s="26"/>
      <c r="D98" s="26"/>
      <c r="E98" s="26"/>
      <c r="F98" s="26"/>
      <c r="G98" s="26"/>
      <c r="H98" s="26"/>
      <c r="I98" s="26"/>
      <c r="J98" s="26"/>
      <c r="K98" s="725"/>
      <c r="L98" s="26"/>
      <c r="M98" s="26"/>
      <c r="N98" s="26"/>
      <c r="O98" s="26"/>
      <c r="P98" s="26"/>
      <c r="Q98" s="26"/>
      <c r="R98" s="26"/>
      <c r="S98" s="26"/>
      <c r="T98" s="725"/>
      <c r="U98" s="26"/>
      <c r="V98" s="26"/>
      <c r="W98" s="26"/>
      <c r="X98" s="26"/>
      <c r="Y98" s="26"/>
      <c r="Z98" s="26"/>
      <c r="AA98" s="26"/>
      <c r="AB98" s="638"/>
    </row>
    <row r="99" spans="2:28" s="104" customFormat="1">
      <c r="B99" s="725"/>
      <c r="C99" s="26"/>
      <c r="D99" s="26"/>
      <c r="E99" s="26"/>
      <c r="F99" s="26"/>
      <c r="G99" s="26"/>
      <c r="H99" s="26"/>
      <c r="I99" s="26"/>
      <c r="J99" s="26"/>
      <c r="K99" s="725"/>
      <c r="L99" s="26"/>
      <c r="M99" s="26"/>
      <c r="N99" s="26"/>
      <c r="O99" s="26"/>
      <c r="P99" s="26"/>
      <c r="Q99" s="26"/>
      <c r="R99" s="26"/>
      <c r="S99" s="26"/>
      <c r="T99" s="725"/>
      <c r="U99" s="26"/>
      <c r="V99" s="26"/>
      <c r="W99" s="26"/>
      <c r="X99" s="26"/>
      <c r="Y99" s="26"/>
      <c r="Z99" s="26"/>
      <c r="AA99" s="26"/>
      <c r="AB99" s="638"/>
    </row>
    <row r="100" spans="2:28" s="104" customFormat="1">
      <c r="B100" s="725"/>
      <c r="C100" s="26"/>
      <c r="D100" s="26"/>
      <c r="E100" s="26"/>
      <c r="F100" s="26"/>
      <c r="G100" s="26"/>
      <c r="H100" s="26"/>
      <c r="I100" s="26"/>
      <c r="J100" s="26"/>
      <c r="K100" s="725"/>
      <c r="L100" s="26"/>
      <c r="M100" s="26"/>
      <c r="N100" s="26"/>
      <c r="O100" s="26"/>
      <c r="P100" s="26"/>
      <c r="Q100" s="26"/>
      <c r="R100" s="26"/>
      <c r="S100" s="26"/>
      <c r="T100" s="725"/>
      <c r="U100" s="26"/>
      <c r="V100" s="26"/>
      <c r="W100" s="26"/>
      <c r="X100" s="26"/>
      <c r="Y100" s="26"/>
      <c r="Z100" s="26"/>
      <c r="AA100" s="26"/>
      <c r="AB100" s="638"/>
    </row>
    <row r="101" spans="2:28" s="104" customFormat="1">
      <c r="B101" s="725"/>
      <c r="C101" s="26"/>
      <c r="D101" s="26"/>
      <c r="E101" s="26"/>
      <c r="F101" s="26"/>
      <c r="G101" s="26"/>
      <c r="H101" s="26"/>
      <c r="I101" s="26"/>
      <c r="J101" s="26"/>
      <c r="K101" s="725"/>
      <c r="L101" s="26"/>
      <c r="M101" s="26"/>
      <c r="N101" s="26"/>
      <c r="O101" s="26"/>
      <c r="P101" s="26"/>
      <c r="Q101" s="26"/>
      <c r="R101" s="26"/>
      <c r="S101" s="26"/>
      <c r="T101" s="725"/>
      <c r="U101" s="26"/>
      <c r="V101" s="26"/>
      <c r="W101" s="26"/>
      <c r="X101" s="26"/>
      <c r="Y101" s="26"/>
      <c r="Z101" s="26"/>
      <c r="AA101" s="26"/>
      <c r="AB101" s="638"/>
    </row>
    <row r="102" spans="2:28" s="104" customFormat="1">
      <c r="B102" s="725"/>
      <c r="C102" s="26"/>
      <c r="D102" s="26"/>
      <c r="E102" s="26"/>
      <c r="F102" s="26"/>
      <c r="G102" s="26"/>
      <c r="H102" s="26"/>
      <c r="I102" s="26"/>
      <c r="J102" s="26"/>
      <c r="K102" s="725"/>
      <c r="L102" s="26"/>
      <c r="M102" s="26"/>
      <c r="N102" s="26"/>
      <c r="O102" s="26"/>
      <c r="P102" s="26"/>
      <c r="Q102" s="26"/>
      <c r="R102" s="26"/>
      <c r="S102" s="26"/>
      <c r="T102" s="725"/>
      <c r="U102" s="26"/>
      <c r="V102" s="26"/>
      <c r="W102" s="26"/>
      <c r="X102" s="26"/>
      <c r="Y102" s="26"/>
      <c r="Z102" s="26"/>
      <c r="AA102" s="26"/>
      <c r="AB102" s="638"/>
    </row>
    <row r="103" spans="2:28" s="104" customFormat="1">
      <c r="B103" s="725"/>
      <c r="C103" s="26"/>
      <c r="D103" s="26"/>
      <c r="E103" s="26"/>
      <c r="F103" s="26"/>
      <c r="G103" s="26"/>
      <c r="H103" s="26"/>
      <c r="I103" s="26"/>
      <c r="J103" s="26"/>
      <c r="K103" s="725"/>
      <c r="L103" s="26"/>
      <c r="M103" s="26"/>
      <c r="N103" s="26"/>
      <c r="O103" s="26"/>
      <c r="P103" s="26"/>
      <c r="Q103" s="26"/>
      <c r="R103" s="26"/>
      <c r="S103" s="26"/>
      <c r="T103" s="725"/>
      <c r="U103" s="26"/>
      <c r="V103" s="26"/>
      <c r="W103" s="26"/>
      <c r="X103" s="26"/>
      <c r="Y103" s="26"/>
      <c r="Z103" s="26"/>
      <c r="AA103" s="26"/>
      <c r="AB103" s="638"/>
    </row>
    <row r="104" spans="2:28" s="104" customFormat="1">
      <c r="B104" s="725"/>
      <c r="C104" s="26"/>
      <c r="D104" s="26"/>
      <c r="E104" s="26"/>
      <c r="F104" s="26"/>
      <c r="G104" s="26"/>
      <c r="H104" s="26"/>
      <c r="I104" s="26"/>
      <c r="J104" s="26"/>
      <c r="K104" s="725"/>
      <c r="L104" s="26"/>
      <c r="M104" s="26"/>
      <c r="N104" s="26"/>
      <c r="O104" s="26"/>
      <c r="P104" s="26"/>
      <c r="Q104" s="26"/>
      <c r="R104" s="26"/>
      <c r="S104" s="26"/>
      <c r="T104" s="725"/>
      <c r="U104" s="26"/>
      <c r="V104" s="26"/>
      <c r="W104" s="26"/>
      <c r="X104" s="26"/>
      <c r="Y104" s="26"/>
      <c r="Z104" s="26"/>
      <c r="AA104" s="26"/>
      <c r="AB104" s="638"/>
    </row>
    <row r="105" spans="2:28" s="104" customFormat="1">
      <c r="B105" s="725"/>
      <c r="C105" s="26"/>
      <c r="D105" s="26"/>
      <c r="E105" s="26"/>
      <c r="F105" s="26"/>
      <c r="G105" s="26"/>
      <c r="H105" s="26"/>
      <c r="I105" s="26"/>
      <c r="J105" s="26"/>
      <c r="K105" s="725"/>
      <c r="L105" s="26"/>
      <c r="M105" s="26"/>
      <c r="N105" s="26"/>
      <c r="O105" s="26"/>
      <c r="P105" s="26"/>
      <c r="Q105" s="26"/>
      <c r="R105" s="26"/>
      <c r="S105" s="26"/>
      <c r="T105" s="725"/>
      <c r="U105" s="26"/>
      <c r="V105" s="26"/>
      <c r="W105" s="26"/>
      <c r="X105" s="26"/>
      <c r="Y105" s="26"/>
      <c r="Z105" s="26"/>
      <c r="AA105" s="26"/>
      <c r="AB105" s="638"/>
    </row>
    <row r="106" spans="2:28" s="104" customFormat="1">
      <c r="B106" s="725"/>
      <c r="C106" s="26"/>
      <c r="D106" s="26"/>
      <c r="E106" s="26"/>
      <c r="F106" s="26"/>
      <c r="G106" s="26"/>
      <c r="H106" s="26"/>
      <c r="I106" s="26"/>
      <c r="J106" s="26"/>
      <c r="K106" s="725"/>
      <c r="L106" s="26"/>
      <c r="M106" s="26"/>
      <c r="N106" s="26"/>
      <c r="O106" s="26"/>
      <c r="P106" s="26"/>
      <c r="Q106" s="26"/>
      <c r="R106" s="26"/>
      <c r="S106" s="26"/>
      <c r="T106" s="725"/>
      <c r="U106" s="26"/>
      <c r="V106" s="26"/>
      <c r="W106" s="26"/>
      <c r="X106" s="26"/>
      <c r="Y106" s="26"/>
      <c r="Z106" s="26"/>
      <c r="AA106" s="26"/>
      <c r="AB106" s="638"/>
    </row>
    <row r="107" spans="2:28" s="104" customFormat="1">
      <c r="B107" s="725"/>
      <c r="C107" s="26"/>
      <c r="D107" s="26"/>
      <c r="E107" s="26"/>
      <c r="F107" s="26"/>
      <c r="G107" s="26"/>
      <c r="H107" s="26"/>
      <c r="I107" s="26"/>
      <c r="J107" s="26"/>
      <c r="K107" s="725"/>
      <c r="L107" s="26"/>
      <c r="M107" s="26"/>
      <c r="N107" s="26"/>
      <c r="O107" s="26"/>
      <c r="P107" s="26"/>
      <c r="Q107" s="26"/>
      <c r="R107" s="26"/>
      <c r="S107" s="26"/>
      <c r="T107" s="725"/>
      <c r="U107" s="26"/>
      <c r="V107" s="26"/>
      <c r="W107" s="26"/>
      <c r="X107" s="26"/>
      <c r="Y107" s="26"/>
      <c r="Z107" s="26"/>
      <c r="AA107" s="26"/>
      <c r="AB107" s="638"/>
    </row>
    <row r="108" spans="2:28" s="104" customFormat="1">
      <c r="B108" s="725"/>
      <c r="C108" s="26"/>
      <c r="D108" s="26"/>
      <c r="E108" s="26"/>
      <c r="F108" s="26"/>
      <c r="G108" s="26"/>
      <c r="H108" s="26"/>
      <c r="I108" s="26"/>
      <c r="J108" s="26"/>
      <c r="K108" s="725"/>
      <c r="L108" s="26"/>
      <c r="M108" s="26"/>
      <c r="N108" s="26"/>
      <c r="O108" s="26"/>
      <c r="P108" s="26"/>
      <c r="Q108" s="26"/>
      <c r="R108" s="26"/>
      <c r="S108" s="26"/>
      <c r="T108" s="725"/>
      <c r="U108" s="26"/>
      <c r="V108" s="26"/>
      <c r="W108" s="26"/>
      <c r="X108" s="26"/>
      <c r="Y108" s="26"/>
      <c r="Z108" s="26"/>
      <c r="AA108" s="26"/>
      <c r="AB108" s="638"/>
    </row>
    <row r="109" spans="2:28" s="104" customFormat="1">
      <c r="B109" s="725"/>
      <c r="C109" s="26"/>
      <c r="D109" s="26"/>
      <c r="E109" s="26"/>
      <c r="F109" s="26"/>
      <c r="G109" s="26"/>
      <c r="H109" s="26"/>
      <c r="I109" s="26"/>
      <c r="J109" s="26"/>
      <c r="K109" s="725"/>
      <c r="L109" s="26"/>
      <c r="M109" s="26"/>
      <c r="N109" s="26"/>
      <c r="O109" s="26"/>
      <c r="P109" s="26"/>
      <c r="Q109" s="26"/>
      <c r="R109" s="26"/>
      <c r="S109" s="26"/>
      <c r="T109" s="725"/>
      <c r="U109" s="26"/>
      <c r="V109" s="26"/>
      <c r="W109" s="26"/>
      <c r="X109" s="26"/>
      <c r="Y109" s="26"/>
      <c r="Z109" s="26"/>
      <c r="AA109" s="26"/>
      <c r="AB109" s="638"/>
    </row>
    <row r="110" spans="2:28" s="104" customFormat="1">
      <c r="B110" s="725"/>
      <c r="C110" s="26"/>
      <c r="D110" s="26"/>
      <c r="E110" s="26"/>
      <c r="F110" s="26"/>
      <c r="G110" s="26"/>
      <c r="H110" s="26"/>
      <c r="I110" s="26"/>
      <c r="J110" s="26"/>
      <c r="K110" s="725"/>
      <c r="L110" s="26"/>
      <c r="M110" s="26"/>
      <c r="N110" s="26"/>
      <c r="O110" s="26"/>
      <c r="P110" s="26"/>
      <c r="Q110" s="26"/>
      <c r="R110" s="26"/>
      <c r="S110" s="26"/>
      <c r="T110" s="725"/>
      <c r="U110" s="26"/>
      <c r="V110" s="26"/>
      <c r="W110" s="26"/>
      <c r="X110" s="26"/>
      <c r="Y110" s="26"/>
      <c r="Z110" s="26"/>
      <c r="AA110" s="26"/>
      <c r="AB110" s="638"/>
    </row>
    <row r="111" spans="2:28" s="104" customFormat="1">
      <c r="B111" s="725"/>
      <c r="C111" s="26"/>
      <c r="D111" s="26"/>
      <c r="E111" s="26"/>
      <c r="F111" s="26"/>
      <c r="G111" s="26"/>
      <c r="H111" s="26"/>
      <c r="I111" s="26"/>
      <c r="J111" s="26"/>
      <c r="K111" s="725"/>
      <c r="L111" s="26"/>
      <c r="M111" s="26"/>
      <c r="N111" s="26"/>
      <c r="O111" s="26"/>
      <c r="P111" s="26"/>
      <c r="Q111" s="26"/>
      <c r="R111" s="26"/>
      <c r="S111" s="26"/>
      <c r="T111" s="725"/>
      <c r="U111" s="26"/>
      <c r="V111" s="26"/>
      <c r="W111" s="26"/>
      <c r="X111" s="26"/>
      <c r="Y111" s="26"/>
      <c r="Z111" s="26"/>
      <c r="AA111" s="26"/>
      <c r="AB111" s="638"/>
    </row>
    <row r="112" spans="2:28" s="104" customFormat="1">
      <c r="B112" s="725"/>
      <c r="C112" s="26"/>
      <c r="D112" s="26"/>
      <c r="E112" s="26"/>
      <c r="F112" s="26"/>
      <c r="G112" s="26"/>
      <c r="H112" s="26"/>
      <c r="I112" s="26"/>
      <c r="J112" s="26"/>
      <c r="K112" s="725"/>
      <c r="L112" s="26"/>
      <c r="M112" s="26"/>
      <c r="N112" s="26"/>
      <c r="O112" s="26"/>
      <c r="P112" s="26"/>
      <c r="Q112" s="26"/>
      <c r="R112" s="26"/>
      <c r="S112" s="26"/>
      <c r="T112" s="725"/>
      <c r="U112" s="26"/>
      <c r="V112" s="26"/>
      <c r="W112" s="26"/>
      <c r="X112" s="26"/>
      <c r="Y112" s="26"/>
      <c r="Z112" s="26"/>
      <c r="AA112" s="26"/>
      <c r="AB112" s="638"/>
    </row>
    <row r="113" spans="2:28" s="104" customFormat="1">
      <c r="B113" s="725"/>
      <c r="C113" s="26"/>
      <c r="D113" s="26"/>
      <c r="E113" s="26"/>
      <c r="F113" s="26"/>
      <c r="G113" s="26"/>
      <c r="H113" s="26"/>
      <c r="I113" s="26"/>
      <c r="J113" s="26"/>
      <c r="K113" s="725"/>
      <c r="L113" s="26"/>
      <c r="M113" s="26"/>
      <c r="N113" s="26"/>
      <c r="O113" s="26"/>
      <c r="P113" s="26"/>
      <c r="Q113" s="26"/>
      <c r="R113" s="26"/>
      <c r="S113" s="26"/>
      <c r="T113" s="725"/>
      <c r="U113" s="26"/>
      <c r="V113" s="26"/>
      <c r="W113" s="26"/>
      <c r="X113" s="26"/>
      <c r="Y113" s="26"/>
      <c r="Z113" s="26"/>
      <c r="AA113" s="26"/>
      <c r="AB113" s="638"/>
    </row>
    <row r="114" spans="2:28" s="104" customFormat="1">
      <c r="B114" s="725"/>
      <c r="C114" s="26"/>
      <c r="D114" s="26"/>
      <c r="E114" s="26"/>
      <c r="F114" s="26"/>
      <c r="G114" s="26"/>
      <c r="H114" s="26"/>
      <c r="I114" s="26"/>
      <c r="J114" s="26"/>
      <c r="K114" s="725"/>
      <c r="L114" s="26"/>
      <c r="M114" s="26"/>
      <c r="N114" s="26"/>
      <c r="O114" s="26"/>
      <c r="P114" s="26"/>
      <c r="Q114" s="26"/>
      <c r="R114" s="26"/>
      <c r="S114" s="26"/>
      <c r="T114" s="725"/>
      <c r="U114" s="26"/>
      <c r="V114" s="26"/>
      <c r="W114" s="26"/>
      <c r="X114" s="26"/>
      <c r="Y114" s="26"/>
      <c r="Z114" s="26"/>
      <c r="AA114" s="26"/>
      <c r="AB114" s="638"/>
    </row>
    <row r="115" spans="2:28" s="104" customFormat="1">
      <c r="B115" s="725"/>
      <c r="C115" s="26"/>
      <c r="D115" s="26"/>
      <c r="E115" s="26"/>
      <c r="F115" s="26"/>
      <c r="G115" s="26"/>
      <c r="H115" s="26"/>
      <c r="I115" s="26"/>
      <c r="J115" s="26"/>
      <c r="K115" s="725"/>
      <c r="L115" s="26"/>
      <c r="M115" s="26"/>
      <c r="N115" s="26"/>
      <c r="O115" s="26"/>
      <c r="P115" s="26"/>
      <c r="Q115" s="26"/>
      <c r="R115" s="26"/>
      <c r="S115" s="26"/>
      <c r="T115" s="725"/>
      <c r="U115" s="26"/>
      <c r="V115" s="26"/>
      <c r="W115" s="26"/>
      <c r="X115" s="26"/>
      <c r="Y115" s="26"/>
      <c r="Z115" s="26"/>
      <c r="AA115" s="26"/>
      <c r="AB115" s="638"/>
    </row>
    <row r="116" spans="2:28" s="104" customFormat="1">
      <c r="B116" s="725"/>
      <c r="C116" s="26"/>
      <c r="D116" s="26"/>
      <c r="E116" s="26"/>
      <c r="F116" s="26"/>
      <c r="G116" s="26"/>
      <c r="H116" s="26"/>
      <c r="I116" s="26"/>
      <c r="J116" s="26"/>
      <c r="K116" s="725"/>
      <c r="L116" s="26"/>
      <c r="M116" s="26"/>
      <c r="N116" s="26"/>
      <c r="O116" s="26"/>
      <c r="P116" s="26"/>
      <c r="Q116" s="26"/>
      <c r="R116" s="26"/>
      <c r="S116" s="26"/>
      <c r="T116" s="725"/>
      <c r="U116" s="26"/>
      <c r="V116" s="26"/>
      <c r="W116" s="26"/>
      <c r="X116" s="26"/>
      <c r="Y116" s="26"/>
      <c r="Z116" s="26"/>
      <c r="AA116" s="26"/>
      <c r="AB116" s="638"/>
    </row>
    <row r="117" spans="2:28" s="104" customFormat="1">
      <c r="B117" s="725"/>
      <c r="C117" s="26"/>
      <c r="D117" s="26"/>
      <c r="E117" s="26"/>
      <c r="F117" s="26"/>
      <c r="G117" s="26"/>
      <c r="H117" s="26"/>
      <c r="I117" s="26"/>
      <c r="J117" s="26"/>
      <c r="K117" s="725"/>
      <c r="L117" s="26"/>
      <c r="M117" s="26"/>
      <c r="N117" s="26"/>
      <c r="O117" s="26"/>
      <c r="P117" s="26"/>
      <c r="Q117" s="26"/>
      <c r="R117" s="26"/>
      <c r="S117" s="26"/>
      <c r="T117" s="725"/>
      <c r="U117" s="26"/>
      <c r="V117" s="26"/>
      <c r="W117" s="26"/>
      <c r="X117" s="26"/>
      <c r="Y117" s="26"/>
      <c r="Z117" s="26"/>
      <c r="AA117" s="26"/>
      <c r="AB117" s="638"/>
    </row>
    <row r="118" spans="2:28" s="104" customFormat="1">
      <c r="B118" s="725"/>
      <c r="C118" s="26"/>
      <c r="D118" s="26"/>
      <c r="E118" s="26"/>
      <c r="F118" s="26"/>
      <c r="G118" s="26"/>
      <c r="H118" s="26"/>
      <c r="I118" s="26"/>
      <c r="J118" s="26"/>
      <c r="K118" s="725"/>
      <c r="L118" s="26"/>
      <c r="M118" s="26"/>
      <c r="N118" s="26"/>
      <c r="O118" s="26"/>
      <c r="P118" s="26"/>
      <c r="Q118" s="26"/>
      <c r="R118" s="26"/>
      <c r="S118" s="26"/>
      <c r="T118" s="725"/>
      <c r="U118" s="26"/>
      <c r="V118" s="26"/>
      <c r="W118" s="26"/>
      <c r="X118" s="26"/>
      <c r="Y118" s="26"/>
      <c r="Z118" s="26"/>
      <c r="AA118" s="26"/>
      <c r="AB118" s="638"/>
    </row>
    <row r="119" spans="2:28" s="104" customFormat="1">
      <c r="B119" s="725"/>
      <c r="C119" s="26"/>
      <c r="D119" s="26"/>
      <c r="E119" s="26"/>
      <c r="F119" s="26"/>
      <c r="G119" s="26"/>
      <c r="H119" s="26"/>
      <c r="I119" s="26"/>
      <c r="J119" s="26"/>
      <c r="K119" s="725"/>
      <c r="L119" s="26"/>
      <c r="M119" s="26"/>
      <c r="N119" s="26"/>
      <c r="O119" s="26"/>
      <c r="P119" s="26"/>
      <c r="Q119" s="26"/>
      <c r="R119" s="26"/>
      <c r="S119" s="26"/>
      <c r="T119" s="725"/>
      <c r="U119" s="26"/>
      <c r="V119" s="26"/>
      <c r="W119" s="26"/>
      <c r="X119" s="26"/>
      <c r="Y119" s="26"/>
      <c r="Z119" s="26"/>
      <c r="AA119" s="26"/>
      <c r="AB119" s="638"/>
    </row>
    <row r="120" spans="2:28" s="104" customFormat="1">
      <c r="B120" s="741"/>
      <c r="C120" s="742"/>
      <c r="D120" s="742"/>
      <c r="E120" s="742"/>
      <c r="F120" s="742"/>
      <c r="G120" s="742"/>
      <c r="H120" s="742"/>
      <c r="I120" s="742"/>
      <c r="J120" s="742"/>
      <c r="K120" s="741"/>
      <c r="L120" s="742"/>
      <c r="M120" s="742"/>
      <c r="N120" s="742"/>
      <c r="O120" s="742"/>
      <c r="P120" s="742"/>
      <c r="Q120" s="742"/>
      <c r="R120" s="742"/>
      <c r="S120" s="742"/>
      <c r="T120" s="741"/>
      <c r="U120" s="742"/>
      <c r="V120" s="742"/>
      <c r="W120" s="742"/>
      <c r="X120" s="742"/>
      <c r="Y120" s="742"/>
      <c r="Z120" s="742"/>
      <c r="AA120" s="742"/>
      <c r="AB120" s="743"/>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YRnBzp8trZs8fWWTkvm9rmFikPpLdm0KCrV7XDLtf7Ev7zseO8M7Iedbw6BWWBFoG1ctB/yv9qD0GsCA0rY4tQ==" saltValue="qnH4R7CqIeJs2n/ThJ5khw==" spinCount="100000" sheet="1" scenarios="1" insertHyperlinks="0"/>
  <protectedRanges>
    <protectedRange sqref="F4:F5 C26 C29:C31 C40 C42 C44:C46 L26 L29:L31 L37 L39:L42 L47 U26 U29:U31 U37 U47 B7:AB22 E24:J52 N24:S62 B53:J120 K63:AB120 L49:L52 U39:U42 U49:U52 W24:AB62 L45 L55 U45 U55" name="Range1"/>
    <protectedRange sqref="L43:L44 L53:L54 U43:U44 U53:U54" name="Range1_1"/>
  </protectedRanges>
  <mergeCells count="29">
    <mergeCell ref="B28:D28"/>
    <mergeCell ref="L48:M48"/>
    <mergeCell ref="K61:M62"/>
    <mergeCell ref="B25:D25"/>
    <mergeCell ref="B33:D34"/>
    <mergeCell ref="L47:M47"/>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T61:V62"/>
    <mergeCell ref="U37:V37"/>
    <mergeCell ref="T36:V36"/>
    <mergeCell ref="U38:V38"/>
    <mergeCell ref="T46:V46"/>
    <mergeCell ref="U47:V47"/>
    <mergeCell ref="U48:V48"/>
  </mergeCells>
  <phoneticPr fontId="0" type="noConversion"/>
  <conditionalFormatting sqref="C24:D24">
    <cfRule type="expression" dxfId="215" priority="73" stopIfTrue="1">
      <formula>C24="CHECK"</formula>
    </cfRule>
  </conditionalFormatting>
  <conditionalFormatting sqref="C24:F24">
    <cfRule type="expression" dxfId="214" priority="271" stopIfTrue="1">
      <formula>C24="PASS"</formula>
    </cfRule>
    <cfRule type="expression" dxfId="213" priority="272" stopIfTrue="1">
      <formula>C24="FAIL"</formula>
    </cfRule>
    <cfRule type="expression" dxfId="212" priority="273" stopIfTrue="1">
      <formula>C24="N/A"</formula>
    </cfRule>
  </conditionalFormatting>
  <conditionalFormatting sqref="D26:D27">
    <cfRule type="expression" dxfId="211" priority="203" stopIfTrue="1">
      <formula>D26="PASS"</formula>
    </cfRule>
    <cfRule type="expression" dxfId="210" priority="204" stopIfTrue="1">
      <formula>D26="FAIL"</formula>
    </cfRule>
  </conditionalFormatting>
  <conditionalFormatting sqref="D29:D30">
    <cfRule type="expression" dxfId="209" priority="74">
      <formula>D29="CHECK"</formula>
    </cfRule>
  </conditionalFormatting>
  <conditionalFormatting sqref="D29:D32 F29:F30 D39 F43 D44 F48 F52:F53 V57:V60">
    <cfRule type="expression" dxfId="208" priority="269" stopIfTrue="1">
      <formula>D29="PASS"</formula>
    </cfRule>
  </conditionalFormatting>
  <conditionalFormatting sqref="D48:D50">
    <cfRule type="expression" dxfId="207" priority="265" stopIfTrue="1">
      <formula>D48="PASS"</formula>
    </cfRule>
    <cfRule type="expression" dxfId="206" priority="266" stopIfTrue="1">
      <formula>D48="FAIL"</formula>
    </cfRule>
  </conditionalFormatting>
  <conditionalFormatting sqref="F3:F5">
    <cfRule type="expression" dxfId="205" priority="169" stopIfTrue="1">
      <formula>F3="PASS"</formula>
    </cfRule>
    <cfRule type="expression" dxfId="204" priority="170" stopIfTrue="1">
      <formula>F3="FAIL"</formula>
    </cfRule>
    <cfRule type="expression" dxfId="203" priority="171" stopIfTrue="1">
      <formula>F3="N/A"</formula>
    </cfRule>
  </conditionalFormatting>
  <conditionalFormatting sqref="F29:F30 D29:D32 D39 F43 D44 F48 F52:F53 V57:V60">
    <cfRule type="expression" dxfId="202" priority="270" stopIfTrue="1">
      <formula>D29="FAIL"</formula>
    </cfRule>
  </conditionalFormatting>
  <conditionalFormatting sqref="L41">
    <cfRule type="expression" dxfId="201" priority="80">
      <formula>OR(L37="Steel",L37="Aluminium 1",L37="Aluminium 2")</formula>
    </cfRule>
  </conditionalFormatting>
  <conditionalFormatting sqref="L43">
    <cfRule type="expression" dxfId="200" priority="8">
      <formula>L43&lt;0.4*L44</formula>
    </cfRule>
  </conditionalFormatting>
  <conditionalFormatting sqref="L44">
    <cfRule type="expression" dxfId="199" priority="7">
      <formula>L44&lt;0.4*L43</formula>
    </cfRule>
  </conditionalFormatting>
  <conditionalFormatting sqref="L51">
    <cfRule type="expression" dxfId="198" priority="57">
      <formula>OR(L47="Steel",L47="Aluminium 1",L47="Aluminium 2")</formula>
    </cfRule>
  </conditionalFormatting>
  <conditionalFormatting sqref="L53">
    <cfRule type="expression" dxfId="197" priority="6">
      <formula>L53&lt;0.4*L54</formula>
    </cfRule>
  </conditionalFormatting>
  <conditionalFormatting sqref="L54">
    <cfRule type="expression" dxfId="196" priority="5">
      <formula>L54&lt;0.4*L53</formula>
    </cfRule>
  </conditionalFormatting>
  <conditionalFormatting sqref="L24:M24">
    <cfRule type="expression" dxfId="195" priority="52">
      <formula>L24="CHECK"</formula>
    </cfRule>
    <cfRule type="expression" dxfId="194" priority="91">
      <formula>L24="N/A"</formula>
    </cfRule>
    <cfRule type="expression" dxfId="193" priority="92" stopIfTrue="1">
      <formula>L24="PASS"</formula>
    </cfRule>
    <cfRule type="expression" dxfId="192" priority="93" stopIfTrue="1">
      <formula>L24="FAIL"</formula>
    </cfRule>
  </conditionalFormatting>
  <conditionalFormatting sqref="M26:M27">
    <cfRule type="expression" dxfId="191" priority="83" stopIfTrue="1">
      <formula>M26="PASS"</formula>
    </cfRule>
    <cfRule type="expression" dxfId="190" priority="84" stopIfTrue="1">
      <formula>M26="FAIL"</formula>
    </cfRule>
  </conditionalFormatting>
  <conditionalFormatting sqref="M29:M30">
    <cfRule type="expression" dxfId="189" priority="18">
      <formula>M29="CHECK"</formula>
    </cfRule>
    <cfRule type="expression" dxfId="188" priority="19" stopIfTrue="1">
      <formula>M29="PASS"</formula>
    </cfRule>
    <cfRule type="expression" dxfId="187" priority="20" stopIfTrue="1">
      <formula>M29="FAIL"</formula>
    </cfRule>
  </conditionalFormatting>
  <conditionalFormatting sqref="M31:M32">
    <cfRule type="expression" dxfId="186" priority="13" stopIfTrue="1">
      <formula>M31="PASS"</formula>
    </cfRule>
    <cfRule type="expression" dxfId="185" priority="14" stopIfTrue="1">
      <formula>M31="FAIL"</formula>
    </cfRule>
  </conditionalFormatting>
  <conditionalFormatting sqref="M40">
    <cfRule type="expression" dxfId="184" priority="94" stopIfTrue="1">
      <formula>M40="PASS"</formula>
    </cfRule>
    <cfRule type="expression" dxfId="183" priority="95" stopIfTrue="1">
      <formula>M40="FAIL"</formula>
    </cfRule>
  </conditionalFormatting>
  <conditionalFormatting sqref="M50">
    <cfRule type="expression" dxfId="182" priority="81" stopIfTrue="1">
      <formula>M50="PASS"</formula>
    </cfRule>
    <cfRule type="expression" dxfId="181" priority="82" stopIfTrue="1">
      <formula>M50="FAIL"</formula>
    </cfRule>
  </conditionalFormatting>
  <conditionalFormatting sqref="M57:M60">
    <cfRule type="expression" dxfId="180" priority="96" stopIfTrue="1">
      <formula>M57="PASS"</formula>
    </cfRule>
    <cfRule type="expression" dxfId="179" priority="97" stopIfTrue="1">
      <formula>M57="FAIL"</formula>
    </cfRule>
  </conditionalFormatting>
  <conditionalFormatting sqref="U41">
    <cfRule type="expression" dxfId="178" priority="24">
      <formula>OR(U37="Steel",U37="Aluminium 1",U37="Aluminium 2")</formula>
    </cfRule>
  </conditionalFormatting>
  <conditionalFormatting sqref="U43">
    <cfRule type="expression" dxfId="177" priority="4">
      <formula>U43&lt;0.4*U44</formula>
    </cfRule>
  </conditionalFormatting>
  <conditionalFormatting sqref="U44">
    <cfRule type="expression" dxfId="176" priority="3">
      <formula>U44&lt;0.4*U43</formula>
    </cfRule>
  </conditionalFormatting>
  <conditionalFormatting sqref="U51">
    <cfRule type="expression" dxfId="175" priority="22">
      <formula>OR(U47="Steel",U47="Aluminium 1",U47="Aluminium 2")</formula>
    </cfRule>
  </conditionalFormatting>
  <conditionalFormatting sqref="U53">
    <cfRule type="expression" dxfId="174" priority="2">
      <formula>U53&lt;0.4*U54</formula>
    </cfRule>
  </conditionalFormatting>
  <conditionalFormatting sqref="U54">
    <cfRule type="expression" dxfId="173" priority="1">
      <formula>U54&lt;0.4*U53</formula>
    </cfRule>
  </conditionalFormatting>
  <conditionalFormatting sqref="U24:V24">
    <cfRule type="expression" dxfId="172" priority="31">
      <formula>U24="CHECK"</formula>
    </cfRule>
    <cfRule type="expression" dxfId="171" priority="32">
      <formula>U24="N/A"</formula>
    </cfRule>
    <cfRule type="expression" dxfId="170" priority="33" stopIfTrue="1">
      <formula>U24="PASS"</formula>
    </cfRule>
    <cfRule type="expression" dxfId="169" priority="34" stopIfTrue="1">
      <formula>U24="FAIL"</formula>
    </cfRule>
  </conditionalFormatting>
  <conditionalFormatting sqref="V26:V27">
    <cfRule type="expression" dxfId="168" priority="105" stopIfTrue="1">
      <formula>V26="PASS"</formula>
    </cfRule>
    <cfRule type="expression" dxfId="167" priority="106" stopIfTrue="1">
      <formula>V26="FAIL"</formula>
    </cfRule>
  </conditionalFormatting>
  <conditionalFormatting sqref="V29:V30">
    <cfRule type="expression" dxfId="166" priority="15">
      <formula>V29="CHECK"</formula>
    </cfRule>
    <cfRule type="expression" dxfId="165" priority="16" stopIfTrue="1">
      <formula>V29="PASS"</formula>
    </cfRule>
    <cfRule type="expression" dxfId="164" priority="17" stopIfTrue="1">
      <formula>V29="FAIL"</formula>
    </cfRule>
  </conditionalFormatting>
  <conditionalFormatting sqref="V31:V32">
    <cfRule type="expression" dxfId="163" priority="9" stopIfTrue="1">
      <formula>V31="PASS"</formula>
    </cfRule>
    <cfRule type="expression" dxfId="162" priority="10" stopIfTrue="1">
      <formula>V31="FAIL"</formula>
    </cfRule>
  </conditionalFormatting>
  <conditionalFormatting sqref="V40">
    <cfRule type="expression" dxfId="161" priority="142" stopIfTrue="1">
      <formula>V40="PASS"</formula>
    </cfRule>
    <cfRule type="expression" dxfId="160" priority="143" stopIfTrue="1">
      <formula>V40="FAIL"</formula>
    </cfRule>
  </conditionalFormatting>
  <conditionalFormatting sqref="V50">
    <cfRule type="expression" dxfId="159" priority="103" stopIfTrue="1">
      <formula>V50="PASS"</formula>
    </cfRule>
    <cfRule type="expression" dxfId="158" priority="104" stopIfTrue="1">
      <formula>V50="FAIL"</formula>
    </cfRule>
  </conditionalFormatting>
  <dataValidations disablePrompts="1"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workbookViewId="0"/>
  </sheetViews>
  <sheetFormatPr baseColWidth="10" defaultColWidth="11.46484375" defaultRowHeight="12.75"/>
  <cols>
    <col min="1" max="1" width="4.33203125" style="258" customWidth="1"/>
    <col min="2" max="2" width="21.46484375" style="258" customWidth="1"/>
    <col min="3" max="3" width="37.33203125" style="258" customWidth="1"/>
    <col min="4" max="4" width="36.1328125" style="258" bestFit="1" customWidth="1"/>
    <col min="5" max="5" width="20" style="258" customWidth="1"/>
    <col min="6" max="6" width="7.46484375" style="258" customWidth="1"/>
    <col min="7" max="7" width="9.1328125" style="258" bestFit="1" customWidth="1"/>
    <col min="8" max="8" width="7.46484375" style="258" customWidth="1"/>
    <col min="9" max="9" width="6.1328125" style="258" bestFit="1" customWidth="1"/>
    <col min="10" max="16384" width="11.46484375" style="258"/>
  </cols>
  <sheetData>
    <row r="1" spans="2:29" ht="15">
      <c r="B1" s="395" t="s">
        <v>113</v>
      </c>
      <c r="C1" s="395"/>
    </row>
    <row r="2" spans="2:29" ht="15">
      <c r="B2" s="395"/>
      <c r="C2" s="395"/>
      <c r="I2" s="162"/>
      <c r="J2" s="162"/>
    </row>
    <row r="3" spans="2:29" ht="13.15">
      <c r="B3" s="1371" t="s">
        <v>554</v>
      </c>
      <c r="C3" s="1372"/>
      <c r="D3" s="286" t="str">
        <f>IF(OR(AND(E24="PASS",B11="PASS",C15="Yes",'Cover Sheet'!D17:J17="Internal Combustion"),AND(E39="PASS",E32="PASS",B11="PASS",C15="Yes",'Cover Sheet'!D17:J17="Electric Vehicle")),"PASS","FAIL")</f>
        <v>FAIL</v>
      </c>
      <c r="E3" s="285"/>
      <c r="F3" s="1358"/>
      <c r="G3" s="1358"/>
      <c r="H3" s="381" t="s">
        <v>219</v>
      </c>
      <c r="I3" s="396"/>
      <c r="J3" s="270"/>
      <c r="K3" s="270"/>
      <c r="L3" s="270"/>
      <c r="M3" s="270"/>
      <c r="N3" s="270"/>
      <c r="O3" s="270"/>
      <c r="P3" s="260"/>
      <c r="Q3" s="260"/>
      <c r="R3" s="260"/>
      <c r="S3" s="260"/>
      <c r="T3" s="260"/>
      <c r="U3" s="260"/>
      <c r="V3" s="260"/>
      <c r="W3" s="260"/>
      <c r="X3" s="260"/>
      <c r="Y3" s="260"/>
      <c r="Z3" s="260"/>
      <c r="AA3" s="260"/>
      <c r="AB3" s="260"/>
      <c r="AC3" s="260"/>
    </row>
    <row r="4" spans="2:29" ht="13.15">
      <c r="B4" s="544"/>
      <c r="C4" s="544"/>
      <c r="D4" s="545"/>
      <c r="E4" s="285"/>
      <c r="F4" s="396"/>
      <c r="G4" s="396"/>
      <c r="H4" s="381"/>
      <c r="I4" s="396"/>
      <c r="J4" s="270"/>
      <c r="K4" s="270"/>
      <c r="L4" s="270"/>
      <c r="M4" s="270"/>
      <c r="N4" s="270"/>
      <c r="O4" s="270"/>
      <c r="P4" s="260"/>
      <c r="Q4" s="260"/>
      <c r="R4" s="260"/>
      <c r="S4" s="260"/>
      <c r="T4" s="260"/>
      <c r="U4" s="260"/>
      <c r="V4" s="260"/>
      <c r="W4" s="260"/>
      <c r="X4" s="260"/>
      <c r="Y4" s="260"/>
      <c r="Z4" s="260"/>
      <c r="AA4" s="260"/>
      <c r="AB4" s="260"/>
      <c r="AC4" s="260"/>
    </row>
    <row r="5" spans="2:29" ht="13.15">
      <c r="B5" s="560"/>
      <c r="C5" s="553" t="s">
        <v>555</v>
      </c>
      <c r="D5" s="554" t="s">
        <v>556</v>
      </c>
      <c r="E5" s="554" t="s">
        <v>557</v>
      </c>
      <c r="F5" s="396"/>
      <c r="G5" s="396"/>
      <c r="H5" s="381"/>
      <c r="I5" s="396"/>
      <c r="J5" s="270"/>
      <c r="K5" s="270"/>
      <c r="L5" s="270"/>
      <c r="M5" s="270"/>
      <c r="N5" s="270"/>
      <c r="O5" s="270"/>
      <c r="P5" s="260"/>
      <c r="Q5" s="260"/>
      <c r="R5" s="260"/>
      <c r="S5" s="260"/>
      <c r="T5" s="260"/>
      <c r="U5" s="260"/>
      <c r="V5" s="260"/>
      <c r="W5" s="260"/>
      <c r="X5" s="260"/>
      <c r="Y5" s="260"/>
      <c r="Z5" s="260"/>
      <c r="AA5" s="260"/>
      <c r="AB5" s="260"/>
      <c r="AC5" s="260"/>
    </row>
    <row r="6" spans="2:29" ht="15" customHeight="1">
      <c r="B6" s="1356" t="s">
        <v>558</v>
      </c>
      <c r="C6" s="548"/>
      <c r="D6" s="549"/>
      <c r="E6" s="558"/>
      <c r="F6" s="396"/>
      <c r="G6" s="396"/>
      <c r="H6" s="381"/>
      <c r="I6" s="396"/>
      <c r="J6" s="270"/>
      <c r="K6" s="270"/>
      <c r="L6" s="270"/>
      <c r="M6" s="270"/>
      <c r="N6" s="270"/>
      <c r="O6" s="270"/>
      <c r="P6" s="260"/>
      <c r="Q6" s="260"/>
      <c r="R6" s="260"/>
      <c r="S6" s="260"/>
      <c r="T6" s="260"/>
      <c r="U6" s="260"/>
      <c r="V6" s="260"/>
      <c r="W6" s="260"/>
      <c r="X6" s="260"/>
      <c r="Y6" s="260"/>
      <c r="Z6" s="260"/>
      <c r="AA6" s="260"/>
      <c r="AB6" s="260"/>
      <c r="AC6" s="260"/>
    </row>
    <row r="7" spans="2:29" ht="18.75" customHeight="1">
      <c r="B7" s="1356"/>
      <c r="C7" s="561" t="s">
        <v>559</v>
      </c>
      <c r="D7" s="565"/>
      <c r="E7" s="645" t="s">
        <v>122</v>
      </c>
      <c r="F7" s="552"/>
      <c r="G7" s="552"/>
      <c r="H7" s="552"/>
      <c r="I7" s="552"/>
      <c r="J7" s="270"/>
      <c r="K7" s="270"/>
      <c r="L7" s="270"/>
      <c r="M7" s="270"/>
      <c r="N7" s="270"/>
      <c r="O7" s="270"/>
      <c r="P7" s="260"/>
      <c r="Q7" s="260"/>
      <c r="R7" s="260"/>
      <c r="S7" s="260"/>
      <c r="T7" s="260"/>
      <c r="U7" s="260"/>
      <c r="V7" s="260"/>
      <c r="W7" s="260"/>
      <c r="X7" s="260"/>
      <c r="Y7" s="260"/>
      <c r="Z7" s="260"/>
      <c r="AA7" s="260"/>
      <c r="AB7" s="260"/>
      <c r="AC7" s="260"/>
    </row>
    <row r="8" spans="2:29" ht="30" customHeight="1">
      <c r="B8" s="1356"/>
      <c r="C8" s="562" t="s">
        <v>560</v>
      </c>
      <c r="D8" s="556"/>
      <c r="E8" s="557" t="s">
        <v>122</v>
      </c>
      <c r="F8" s="396"/>
      <c r="G8" s="396"/>
      <c r="H8" s="381"/>
      <c r="I8" s="396"/>
      <c r="J8" s="270"/>
      <c r="K8" s="270"/>
      <c r="L8" s="270"/>
      <c r="M8" s="270"/>
      <c r="N8" s="270"/>
      <c r="O8" s="270"/>
      <c r="P8" s="260"/>
      <c r="Q8" s="260"/>
      <c r="R8" s="260"/>
      <c r="S8" s="260"/>
      <c r="T8" s="260"/>
      <c r="U8" s="260"/>
      <c r="V8" s="260"/>
      <c r="W8" s="260"/>
      <c r="X8" s="260"/>
      <c r="Y8" s="260"/>
      <c r="Z8" s="260"/>
      <c r="AA8" s="260"/>
      <c r="AB8" s="260"/>
      <c r="AC8" s="260"/>
    </row>
    <row r="9" spans="2:29" ht="18" customHeight="1">
      <c r="B9" s="1356"/>
      <c r="C9" s="563" t="s">
        <v>561</v>
      </c>
      <c r="D9" s="566"/>
      <c r="E9" s="555" t="s">
        <v>122</v>
      </c>
      <c r="F9" s="396"/>
      <c r="G9" s="396"/>
      <c r="H9" s="381"/>
      <c r="I9" s="396"/>
      <c r="J9" s="270"/>
      <c r="K9" s="270"/>
      <c r="L9" s="270"/>
      <c r="M9" s="270"/>
      <c r="N9" s="270"/>
      <c r="O9" s="270"/>
      <c r="P9" s="260"/>
      <c r="Q9" s="260"/>
      <c r="R9" s="260"/>
      <c r="S9" s="260"/>
      <c r="T9" s="260"/>
      <c r="U9" s="260"/>
      <c r="V9" s="260"/>
      <c r="W9" s="260"/>
      <c r="X9" s="260"/>
      <c r="Y9" s="260"/>
      <c r="Z9" s="260"/>
      <c r="AA9" s="260"/>
      <c r="AB9" s="260"/>
      <c r="AC9" s="260"/>
    </row>
    <row r="10" spans="2:29" ht="15" customHeight="1">
      <c r="B10" s="1356"/>
      <c r="C10" s="551"/>
      <c r="D10" s="550"/>
      <c r="E10" s="559"/>
      <c r="F10" s="396"/>
      <c r="G10" s="396"/>
      <c r="H10" s="381"/>
      <c r="I10" s="396"/>
      <c r="J10" s="270"/>
      <c r="K10" s="270"/>
      <c r="L10" s="270"/>
      <c r="M10" s="270"/>
      <c r="N10" s="270"/>
      <c r="O10" s="270"/>
      <c r="P10" s="260"/>
      <c r="Q10" s="260"/>
      <c r="R10" s="260"/>
      <c r="S10" s="260"/>
      <c r="T10" s="260"/>
      <c r="U10" s="260"/>
      <c r="V10" s="260"/>
      <c r="W10" s="260"/>
      <c r="X10" s="260"/>
      <c r="Y10" s="260"/>
      <c r="Z10" s="260"/>
      <c r="AA10" s="260"/>
      <c r="AB10" s="260"/>
      <c r="AC10" s="260"/>
    </row>
    <row r="11" spans="2:29" ht="25.5" customHeight="1">
      <c r="B11" s="564" t="str">
        <f>IF(AND(E7="Yes",E8="yes",E9="yes",NOT(ISBLANK(D7)),NOT(ISBLANK(D9)),NOT(AND(D7="No direct contact",D9="8mm heat insulation with reflective layer")),D8&gt;=25),"PASS","FAIL")</f>
        <v>FAIL</v>
      </c>
      <c r="C11" s="1357" t="str">
        <f>IF(ISBLANK(D8),"",IF(D8&lt;25,"Insufficient air gap, check design",IF((AND(D7="No direct contact",D9="8mm heat insulation with reflective layer")),"Conduction &amp; Radiation insulation do not match, check input","")))</f>
        <v/>
      </c>
      <c r="D11" s="1357"/>
      <c r="E11" s="1357"/>
      <c r="F11" s="396"/>
      <c r="G11" s="396"/>
      <c r="H11" s="381"/>
      <c r="I11" s="396"/>
      <c r="J11" s="270"/>
      <c r="K11" s="270"/>
      <c r="L11" s="270"/>
      <c r="M11" s="270"/>
      <c r="N11" s="270"/>
      <c r="O11" s="270"/>
      <c r="P11" s="260"/>
      <c r="Q11" s="260"/>
      <c r="R11" s="260"/>
      <c r="S11" s="260"/>
      <c r="T11" s="260"/>
      <c r="U11" s="260"/>
      <c r="V11" s="260"/>
      <c r="W11" s="260"/>
      <c r="X11" s="260"/>
      <c r="Y11" s="260"/>
      <c r="Z11" s="260"/>
      <c r="AA11" s="260"/>
      <c r="AB11" s="260"/>
      <c r="AC11" s="260"/>
    </row>
    <row r="12" spans="2:29" ht="13.15">
      <c r="B12" s="546"/>
      <c r="C12" s="546"/>
      <c r="D12" s="547"/>
      <c r="E12" s="285"/>
      <c r="F12" s="396"/>
      <c r="G12" s="396"/>
      <c r="H12" s="381"/>
      <c r="I12" s="396"/>
      <c r="J12" s="270"/>
      <c r="K12" s="270"/>
      <c r="L12" s="270"/>
      <c r="M12" s="270"/>
      <c r="N12" s="270"/>
      <c r="O12" s="270"/>
      <c r="P12" s="260"/>
      <c r="Q12" s="260"/>
      <c r="R12" s="260"/>
      <c r="S12" s="260"/>
      <c r="T12" s="260"/>
      <c r="U12" s="260"/>
      <c r="V12" s="260"/>
      <c r="W12" s="260"/>
      <c r="X12" s="260"/>
      <c r="Y12" s="260"/>
      <c r="Z12" s="260"/>
      <c r="AA12" s="260"/>
      <c r="AB12" s="260"/>
      <c r="AC12" s="260"/>
    </row>
    <row r="13" spans="2:29" ht="13.15">
      <c r="B13" s="546"/>
      <c r="C13" s="546"/>
      <c r="D13"/>
      <c r="E13" s="285"/>
      <c r="F13" s="396"/>
      <c r="G13" s="396"/>
      <c r="H13" s="381"/>
      <c r="I13" s="396"/>
      <c r="J13" s="270"/>
      <c r="K13" s="270"/>
      <c r="L13" s="270"/>
      <c r="M13" s="270"/>
      <c r="N13" s="270"/>
      <c r="O13" s="270"/>
      <c r="P13" s="260"/>
      <c r="Q13" s="260"/>
      <c r="R13" s="260"/>
      <c r="S13" s="260"/>
      <c r="T13" s="260"/>
      <c r="U13" s="260"/>
      <c r="V13" s="260"/>
      <c r="W13" s="260"/>
      <c r="X13" s="260"/>
      <c r="Y13" s="260"/>
      <c r="Z13" s="260"/>
      <c r="AA13" s="260"/>
      <c r="AB13" s="260"/>
      <c r="AC13" s="260"/>
    </row>
    <row r="14" spans="2:29" ht="26.25">
      <c r="B14" s="674" t="s">
        <v>562</v>
      </c>
      <c r="C14" s="675"/>
      <c r="D14" s="547"/>
      <c r="E14" s="285"/>
      <c r="F14" s="396"/>
      <c r="G14" s="396"/>
      <c r="H14" s="381"/>
      <c r="I14" s="396"/>
      <c r="J14" s="270"/>
      <c r="K14" s="270"/>
      <c r="L14" s="270"/>
      <c r="M14" s="270"/>
      <c r="N14" s="270"/>
      <c r="O14" s="270"/>
      <c r="P14" s="260"/>
      <c r="Q14" s="260"/>
      <c r="R14" s="260"/>
      <c r="S14" s="260"/>
      <c r="T14" s="260"/>
      <c r="U14" s="260"/>
      <c r="V14" s="260"/>
      <c r="W14" s="260"/>
      <c r="X14" s="260"/>
      <c r="Y14" s="260"/>
      <c r="Z14" s="260"/>
      <c r="AA14" s="260"/>
      <c r="AB14" s="260"/>
      <c r="AC14" s="260"/>
    </row>
    <row r="15" spans="2:29" ht="13.15">
      <c r="B15" s="676" t="s">
        <v>563</v>
      </c>
      <c r="C15" s="555" t="s">
        <v>122</v>
      </c>
      <c r="D15" s="547"/>
      <c r="E15" s="285"/>
      <c r="F15" s="396"/>
      <c r="G15" s="396"/>
      <c r="H15" s="381"/>
      <c r="I15" s="396"/>
      <c r="J15" s="270"/>
      <c r="K15" s="270"/>
      <c r="L15" s="270"/>
      <c r="M15" s="270"/>
      <c r="N15" s="270"/>
      <c r="O15" s="270"/>
      <c r="P15" s="260"/>
      <c r="Q15" s="260"/>
      <c r="R15" s="260"/>
      <c r="S15" s="260"/>
      <c r="T15" s="260"/>
      <c r="U15" s="260"/>
      <c r="V15" s="260"/>
      <c r="W15" s="260"/>
      <c r="X15" s="260"/>
      <c r="Y15" s="260"/>
      <c r="Z15" s="260"/>
      <c r="AA15" s="260"/>
      <c r="AB15" s="260"/>
      <c r="AC15" s="260"/>
    </row>
    <row r="16" spans="2:29" ht="13.15">
      <c r="B16" s="546"/>
      <c r="C16" s="546"/>
      <c r="D16" s="547"/>
      <c r="E16" s="285"/>
      <c r="F16" s="396"/>
      <c r="G16" s="396"/>
      <c r="H16" s="381"/>
      <c r="I16" s="396"/>
      <c r="J16" s="270"/>
      <c r="K16" s="270"/>
      <c r="L16" s="270"/>
      <c r="M16" s="270"/>
      <c r="N16" s="270"/>
      <c r="O16" s="270"/>
      <c r="P16" s="260"/>
      <c r="Q16" s="260"/>
      <c r="R16" s="260"/>
      <c r="S16" s="260"/>
      <c r="T16" s="260"/>
      <c r="U16" s="260"/>
      <c r="V16" s="260"/>
      <c r="W16" s="260"/>
      <c r="X16" s="260"/>
      <c r="Y16" s="260"/>
      <c r="Z16" s="260"/>
      <c r="AA16" s="260"/>
      <c r="AB16" s="260"/>
      <c r="AC16" s="260"/>
    </row>
    <row r="17" spans="2:29" ht="13.15">
      <c r="B17" s="630"/>
      <c r="C17" s="553" t="s">
        <v>564</v>
      </c>
      <c r="D17" s="631" t="s">
        <v>565</v>
      </c>
      <c r="E17" s="646"/>
      <c r="F17" s="397"/>
      <c r="G17" s="270"/>
      <c r="H17" s="270"/>
      <c r="I17" s="270"/>
      <c r="J17" s="270"/>
      <c r="K17" s="270"/>
      <c r="L17" s="270"/>
      <c r="M17" s="270"/>
      <c r="N17" s="270"/>
      <c r="O17" s="270"/>
      <c r="P17" s="260"/>
      <c r="Q17" s="260"/>
      <c r="R17" s="260"/>
      <c r="S17" s="260"/>
      <c r="T17" s="260"/>
      <c r="U17" s="260"/>
      <c r="V17" s="260"/>
      <c r="W17" s="260"/>
      <c r="X17" s="260"/>
      <c r="Y17" s="260"/>
      <c r="Z17" s="260"/>
      <c r="AA17" s="260"/>
      <c r="AB17" s="260"/>
      <c r="AC17" s="260"/>
    </row>
    <row r="18" spans="2:29" ht="12.75" customHeight="1">
      <c r="B18" s="401"/>
      <c r="C18" s="1365"/>
      <c r="D18" s="1368"/>
      <c r="E18" s="274"/>
      <c r="F18" s="398"/>
      <c r="G18" s="399"/>
      <c r="H18" s="400"/>
      <c r="I18" s="399"/>
      <c r="J18" s="270"/>
      <c r="K18" s="270"/>
      <c r="L18" s="270"/>
      <c r="M18" s="270"/>
      <c r="N18" s="270"/>
      <c r="O18" s="270"/>
      <c r="P18" s="260"/>
      <c r="Q18" s="260"/>
      <c r="R18" s="260"/>
      <c r="S18" s="260"/>
      <c r="T18" s="260"/>
      <c r="U18" s="260"/>
      <c r="V18" s="260"/>
      <c r="W18" s="260"/>
      <c r="X18" s="260"/>
      <c r="Y18" s="260"/>
      <c r="Z18" s="260"/>
      <c r="AA18" s="260"/>
      <c r="AB18" s="260"/>
      <c r="AC18" s="260"/>
    </row>
    <row r="19" spans="2:29" ht="12.75" customHeight="1">
      <c r="B19" s="401"/>
      <c r="C19" s="1366"/>
      <c r="D19" s="1369"/>
      <c r="E19" s="274"/>
      <c r="F19" s="398"/>
      <c r="G19" s="399"/>
      <c r="H19" s="400"/>
      <c r="I19" s="399"/>
      <c r="J19" s="270"/>
      <c r="K19" s="270"/>
      <c r="L19" s="270"/>
      <c r="M19" s="270"/>
      <c r="N19" s="270"/>
      <c r="O19" s="270"/>
      <c r="P19" s="260"/>
      <c r="Q19" s="260"/>
      <c r="R19" s="260"/>
      <c r="S19" s="260"/>
      <c r="T19" s="260"/>
      <c r="U19" s="260"/>
      <c r="V19" s="260"/>
      <c r="W19" s="260"/>
      <c r="X19" s="260"/>
      <c r="Y19" s="260"/>
      <c r="Z19" s="260"/>
      <c r="AA19" s="260"/>
      <c r="AB19" s="260"/>
      <c r="AC19" s="260"/>
    </row>
    <row r="20" spans="2:29" ht="12.75" customHeight="1">
      <c r="B20" s="401"/>
      <c r="C20" s="1366"/>
      <c r="D20" s="1369"/>
      <c r="E20" s="274"/>
      <c r="F20" s="270"/>
      <c r="G20" s="399"/>
      <c r="H20" s="270"/>
      <c r="I20" s="399"/>
      <c r="J20" s="270"/>
      <c r="K20" s="270"/>
      <c r="L20" s="270"/>
      <c r="M20" s="270"/>
      <c r="N20" s="270"/>
      <c r="O20" s="270"/>
      <c r="P20" s="260"/>
      <c r="Q20" s="260"/>
      <c r="R20" s="260"/>
      <c r="S20" s="260"/>
      <c r="T20" s="260"/>
      <c r="U20" s="260"/>
      <c r="V20" s="260"/>
      <c r="W20" s="260"/>
      <c r="X20" s="260"/>
      <c r="Y20" s="260"/>
      <c r="Z20" s="260"/>
      <c r="AA20" s="260"/>
      <c r="AB20" s="260"/>
      <c r="AC20" s="260"/>
    </row>
    <row r="21" spans="2:29" ht="13.9">
      <c r="B21" s="276" t="s">
        <v>566</v>
      </c>
      <c r="C21" s="1366"/>
      <c r="D21" s="1369"/>
      <c r="E21" s="274"/>
      <c r="F21"/>
      <c r="G21" s="402"/>
      <c r="H21" s="270"/>
      <c r="I21" s="402"/>
      <c r="J21" s="270"/>
      <c r="K21" s="270"/>
      <c r="L21" s="270"/>
      <c r="M21" s="270"/>
      <c r="N21" s="270"/>
      <c r="O21" s="270"/>
      <c r="P21" s="260"/>
      <c r="Q21" s="260"/>
      <c r="R21" s="260"/>
      <c r="S21" s="260"/>
      <c r="T21" s="260"/>
      <c r="U21" s="260"/>
      <c r="V21" s="260"/>
      <c r="W21" s="260"/>
      <c r="X21" s="260"/>
      <c r="Y21" s="260"/>
      <c r="Z21" s="260"/>
      <c r="AA21" s="260"/>
      <c r="AB21" s="260"/>
      <c r="AC21" s="260"/>
    </row>
    <row r="22" spans="2:29">
      <c r="B22" s="275"/>
      <c r="C22" s="1367"/>
      <c r="D22" s="1370"/>
      <c r="E22" s="274"/>
      <c r="F22" s="400"/>
      <c r="G22" s="399"/>
      <c r="H22" s="400"/>
      <c r="I22" s="399"/>
      <c r="J22" s="270"/>
      <c r="K22" s="270"/>
      <c r="L22" s="270"/>
      <c r="M22" s="270"/>
      <c r="N22" s="270"/>
      <c r="O22" s="270"/>
      <c r="P22" s="260"/>
      <c r="Q22" s="260"/>
      <c r="R22" s="260"/>
      <c r="S22" s="260"/>
      <c r="T22" s="260"/>
      <c r="U22" s="260"/>
      <c r="V22" s="260"/>
      <c r="W22" s="260"/>
      <c r="X22" s="260"/>
      <c r="Y22" s="260"/>
      <c r="Z22" s="260"/>
      <c r="AA22" s="260"/>
      <c r="AB22" s="260"/>
      <c r="AC22" s="260"/>
    </row>
    <row r="23" spans="2:29" ht="12.75" customHeight="1">
      <c r="B23" s="401"/>
      <c r="C23" s="934" t="str">
        <f>IF(C14="UL94 V-0","Thickness for UL94-V0 rating in data sheet","")</f>
        <v/>
      </c>
      <c r="D23" s="935"/>
      <c r="E23" s="936" t="str">
        <f>IF(C14&lt;&gt;"UL94 V-0","",IF(OR(D23=0,ISBLANK(D23)),"FAIL","PASS"))</f>
        <v/>
      </c>
      <c r="F23" s="400"/>
      <c r="G23" s="399"/>
      <c r="H23" s="400"/>
      <c r="I23" s="399"/>
      <c r="J23" s="270"/>
      <c r="K23" s="270"/>
      <c r="L23" s="270"/>
      <c r="M23" s="270"/>
      <c r="N23" s="270"/>
      <c r="O23" s="270"/>
      <c r="P23" s="260"/>
      <c r="Q23" s="260"/>
      <c r="R23" s="260"/>
      <c r="S23" s="260"/>
      <c r="T23" s="260"/>
      <c r="U23" s="260"/>
      <c r="V23" s="260"/>
      <c r="W23" s="260"/>
      <c r="X23" s="260"/>
      <c r="Y23" s="260"/>
      <c r="Z23" s="260"/>
      <c r="AA23" s="260"/>
      <c r="AB23" s="260"/>
      <c r="AC23" s="260"/>
    </row>
    <row r="24" spans="2:29" ht="12.75" customHeight="1">
      <c r="B24" s="403"/>
      <c r="C24" s="271" t="s">
        <v>567</v>
      </c>
      <c r="D24" s="288"/>
      <c r="E24" s="946" t="str">
        <f>IF(C14="FAR 25.853(a)(1)(i)",IF(ISBLANK(D24),"FAIL","PASS"),IF(AND(D24&gt;=D23,E23="PASS"),"PASS","FAIL"))</f>
        <v>FAIL</v>
      </c>
      <c r="F24" s="400"/>
      <c r="G24" s="399"/>
      <c r="H24"/>
      <c r="I24"/>
      <c r="J24" s="270"/>
      <c r="K24" s="270"/>
      <c r="L24" s="270"/>
      <c r="M24" s="270"/>
      <c r="N24" s="270"/>
      <c r="O24" s="270"/>
      <c r="P24" s="260"/>
      <c r="Q24" s="260"/>
      <c r="R24" s="260"/>
      <c r="S24" s="260"/>
      <c r="T24" s="260"/>
      <c r="U24" s="260"/>
      <c r="V24" s="260"/>
      <c r="W24" s="260"/>
      <c r="X24" s="260"/>
      <c r="Y24" s="260"/>
      <c r="Z24" s="260"/>
      <c r="AA24" s="260"/>
      <c r="AB24" s="260"/>
      <c r="AC24" s="260"/>
    </row>
    <row r="25" spans="2:29" ht="13.15">
      <c r="B25" s="404"/>
      <c r="C25" s="284"/>
      <c r="D25" s="283"/>
      <c r="E25" s="282"/>
      <c r="F25" s="400"/>
      <c r="G25" s="399"/>
      <c r="H25" s="400"/>
      <c r="I25" s="399"/>
      <c r="J25" s="270"/>
      <c r="K25" s="270"/>
      <c r="L25" s="270"/>
      <c r="M25" s="270"/>
      <c r="N25" s="270"/>
      <c r="O25" s="270"/>
      <c r="P25" s="260"/>
      <c r="Q25" s="260"/>
      <c r="R25" s="260"/>
      <c r="S25" s="260"/>
      <c r="T25" s="260"/>
      <c r="U25" s="260"/>
      <c r="V25" s="260"/>
      <c r="W25" s="260"/>
      <c r="X25" s="260"/>
      <c r="Y25" s="260"/>
      <c r="Z25" s="260"/>
      <c r="AA25" s="260"/>
      <c r="AB25" s="260"/>
      <c r="AC25" s="260"/>
    </row>
    <row r="26" spans="2:29" ht="13.15">
      <c r="B26" s="281"/>
      <c r="C26" s="280" t="s">
        <v>564</v>
      </c>
      <c r="D26" s="279" t="s">
        <v>565</v>
      </c>
      <c r="E26" s="278"/>
      <c r="F26" s="400"/>
      <c r="H26" s="400"/>
      <c r="I26" s="399"/>
      <c r="J26" s="270"/>
      <c r="K26" s="270"/>
      <c r="L26" s="270"/>
      <c r="M26" s="270"/>
      <c r="N26" s="270"/>
      <c r="O26" s="270"/>
      <c r="P26" s="260"/>
      <c r="Q26" s="260"/>
      <c r="R26" s="260"/>
      <c r="S26" s="260"/>
      <c r="T26" s="260"/>
      <c r="U26" s="260"/>
      <c r="V26" s="260"/>
      <c r="W26" s="260"/>
      <c r="X26" s="260"/>
      <c r="Y26" s="260"/>
      <c r="Z26" s="260"/>
      <c r="AA26" s="260"/>
      <c r="AB26" s="260"/>
      <c r="AC26" s="260"/>
    </row>
    <row r="27" spans="2:29" ht="12.75" customHeight="1">
      <c r="B27" s="277"/>
      <c r="C27" s="405" t="s">
        <v>568</v>
      </c>
      <c r="D27" s="1376"/>
      <c r="E27" s="1383"/>
      <c r="F27" s="400"/>
      <c r="G27" s="399"/>
      <c r="H27" s="400"/>
      <c r="I27" s="399"/>
      <c r="J27" s="270"/>
      <c r="K27" s="270"/>
      <c r="L27" s="270"/>
      <c r="M27" s="270"/>
      <c r="N27" s="270"/>
      <c r="O27" s="270"/>
      <c r="P27" s="260"/>
      <c r="Q27" s="260"/>
      <c r="R27" s="260"/>
      <c r="S27" s="260"/>
      <c r="T27" s="260"/>
      <c r="U27" s="260"/>
      <c r="V27" s="260"/>
      <c r="W27" s="260"/>
      <c r="X27" s="260"/>
      <c r="Y27" s="260"/>
      <c r="Z27" s="260"/>
      <c r="AA27" s="260"/>
      <c r="AB27" s="260"/>
      <c r="AC27" s="260"/>
    </row>
    <row r="28" spans="2:29" ht="13.15">
      <c r="B28" s="273"/>
      <c r="C28" s="1379"/>
      <c r="D28" s="1377"/>
      <c r="E28" s="1384"/>
      <c r="F28" s="270"/>
      <c r="G28" s="543"/>
      <c r="H28" s="270"/>
      <c r="I28" s="399"/>
      <c r="J28" s="270"/>
      <c r="K28" s="270"/>
      <c r="L28" s="270"/>
      <c r="M28" s="270"/>
      <c r="N28" s="270"/>
      <c r="O28" s="270"/>
      <c r="P28" s="260"/>
      <c r="Q28" s="260"/>
      <c r="R28" s="260"/>
      <c r="S28" s="260"/>
      <c r="T28" s="260"/>
      <c r="U28" s="260"/>
      <c r="V28" s="260"/>
      <c r="W28" s="260"/>
      <c r="X28" s="260"/>
      <c r="Y28" s="260"/>
      <c r="Z28" s="260"/>
      <c r="AA28" s="260"/>
      <c r="AB28" s="260"/>
      <c r="AC28" s="260"/>
    </row>
    <row r="29" spans="2:29" ht="13.15">
      <c r="B29" s="273"/>
      <c r="C29" s="1379"/>
      <c r="D29" s="1377"/>
      <c r="E29" s="1384"/>
      <c r="F29" s="270"/>
      <c r="G29" s="399"/>
      <c r="H29" s="270"/>
      <c r="I29" s="399"/>
      <c r="J29" s="270"/>
      <c r="K29" s="270"/>
      <c r="L29" s="270"/>
      <c r="M29" s="270"/>
      <c r="N29" s="270"/>
      <c r="O29" s="270"/>
      <c r="P29" s="260"/>
      <c r="Q29" s="260"/>
      <c r="R29" s="260"/>
      <c r="S29" s="260"/>
      <c r="T29" s="260"/>
      <c r="U29" s="260"/>
      <c r="V29" s="260"/>
      <c r="W29" s="260"/>
      <c r="X29" s="260"/>
      <c r="Y29" s="260"/>
      <c r="Z29" s="260"/>
      <c r="AA29" s="260"/>
      <c r="AB29" s="260"/>
      <c r="AC29" s="260"/>
    </row>
    <row r="30" spans="2:29" ht="13.15">
      <c r="B30" s="273"/>
      <c r="C30" s="1379"/>
      <c r="D30" s="1377"/>
      <c r="E30" s="1384"/>
      <c r="F30" s="270"/>
      <c r="G30" s="402"/>
      <c r="H30" s="270"/>
      <c r="I30" s="402"/>
      <c r="J30" s="270"/>
      <c r="K30" s="270"/>
      <c r="L30" s="270"/>
      <c r="M30" s="270"/>
      <c r="N30" s="270"/>
      <c r="O30" s="270"/>
      <c r="P30" s="260"/>
      <c r="Q30" s="260"/>
      <c r="R30" s="260"/>
      <c r="S30" s="260"/>
      <c r="T30" s="260"/>
      <c r="U30" s="260"/>
      <c r="V30" s="260"/>
      <c r="W30" s="260"/>
      <c r="X30" s="260"/>
      <c r="Y30" s="260"/>
      <c r="Z30" s="260"/>
      <c r="AA30" s="260"/>
      <c r="AB30" s="260"/>
      <c r="AC30" s="260"/>
    </row>
    <row r="31" spans="2:29" ht="13.15">
      <c r="B31" s="273"/>
      <c r="C31" s="1380"/>
      <c r="D31" s="1378"/>
      <c r="E31" s="1385"/>
      <c r="F31" s="400"/>
      <c r="G31" s="399"/>
      <c r="H31" s="400"/>
      <c r="I31" s="399"/>
      <c r="J31" s="400"/>
      <c r="K31" s="399"/>
      <c r="L31" s="270"/>
      <c r="M31" s="270"/>
      <c r="N31" s="270"/>
      <c r="O31" s="270"/>
      <c r="P31" s="260"/>
      <c r="Q31" s="260"/>
      <c r="R31" s="260"/>
      <c r="S31" s="260"/>
      <c r="T31" s="260"/>
      <c r="U31" s="260"/>
      <c r="V31" s="260"/>
      <c r="W31" s="260"/>
      <c r="X31" s="260"/>
      <c r="Y31" s="260"/>
      <c r="Z31" s="260"/>
      <c r="AA31" s="260"/>
      <c r="AB31" s="260"/>
      <c r="AC31" s="260"/>
    </row>
    <row r="32" spans="2:29" ht="13.15">
      <c r="B32" s="273"/>
      <c r="C32" s="258" t="s">
        <v>569</v>
      </c>
      <c r="D32" s="632"/>
      <c r="E32" s="947" t="str">
        <f>IF(D32&gt;=0.5,"PASS","FAIL")</f>
        <v>FAIL</v>
      </c>
      <c r="F32" s="400"/>
      <c r="G32" s="399"/>
      <c r="H32" s="400"/>
      <c r="I32" s="399"/>
      <c r="J32" s="270"/>
      <c r="K32" s="270"/>
      <c r="L32" s="270"/>
      <c r="M32" s="270"/>
      <c r="N32" s="270"/>
      <c r="O32" s="270"/>
      <c r="P32" s="260"/>
      <c r="Q32" s="260"/>
      <c r="R32" s="260"/>
      <c r="S32" s="260"/>
      <c r="T32" s="260"/>
      <c r="U32" s="260"/>
      <c r="V32" s="260"/>
      <c r="W32" s="260"/>
      <c r="X32" s="260"/>
      <c r="Y32" s="260"/>
      <c r="Z32" s="260"/>
      <c r="AA32" s="260"/>
      <c r="AB32" s="260"/>
      <c r="AC32" s="260"/>
    </row>
    <row r="33" spans="1:41" ht="13.9">
      <c r="B33" s="276" t="s">
        <v>570</v>
      </c>
      <c r="C33" s="405" t="s">
        <v>571</v>
      </c>
      <c r="D33" s="1381"/>
      <c r="E33" s="274"/>
      <c r="F33" s="400"/>
      <c r="G33" s="399"/>
      <c r="H33" s="400"/>
      <c r="I33" s="399"/>
      <c r="J33" s="270"/>
      <c r="K33" s="270"/>
      <c r="L33" s="270"/>
      <c r="M33" s="270"/>
      <c r="N33" s="270"/>
      <c r="O33" s="270"/>
      <c r="P33" s="260"/>
      <c r="Q33" s="260"/>
      <c r="R33" s="260"/>
      <c r="S33" s="260"/>
      <c r="T33" s="260"/>
      <c r="U33" s="260"/>
      <c r="V33" s="260"/>
      <c r="W33" s="260"/>
      <c r="X33" s="260"/>
      <c r="Y33" s="260"/>
      <c r="Z33" s="260"/>
      <c r="AA33" s="260"/>
      <c r="AB33" s="260"/>
      <c r="AC33" s="260"/>
    </row>
    <row r="34" spans="1:41">
      <c r="B34" s="275"/>
      <c r="C34" s="1379"/>
      <c r="D34" s="1381"/>
      <c r="E34" s="274"/>
      <c r="F34" s="400"/>
      <c r="G34" s="399"/>
      <c r="H34" s="400"/>
      <c r="I34" s="399"/>
      <c r="J34" s="270"/>
      <c r="K34" s="270"/>
      <c r="L34" s="270"/>
      <c r="M34" s="270"/>
      <c r="N34" s="270"/>
      <c r="O34" s="270"/>
      <c r="P34" s="260"/>
      <c r="Q34" s="260"/>
      <c r="R34" s="260"/>
      <c r="S34" s="260"/>
      <c r="T34" s="260"/>
      <c r="U34" s="260"/>
      <c r="V34" s="260"/>
      <c r="W34" s="260"/>
      <c r="X34" s="260"/>
      <c r="Y34" s="260"/>
      <c r="Z34" s="260"/>
      <c r="AA34" s="260"/>
      <c r="AB34" s="260"/>
      <c r="AC34" s="260"/>
    </row>
    <row r="35" spans="1:41" ht="13.15">
      <c r="B35" s="273"/>
      <c r="C35" s="1379"/>
      <c r="D35" s="1381"/>
      <c r="E35" s="274"/>
      <c r="F35" s="400"/>
      <c r="G35" s="399"/>
      <c r="H35" s="400"/>
      <c r="I35" s="399"/>
      <c r="J35" s="270"/>
      <c r="K35" s="270"/>
      <c r="L35" s="270"/>
      <c r="M35" s="270"/>
      <c r="N35" s="270"/>
      <c r="O35" s="270"/>
      <c r="P35" s="260"/>
      <c r="Q35" s="260"/>
      <c r="R35" s="260"/>
      <c r="S35" s="260"/>
      <c r="T35" s="260"/>
      <c r="U35" s="260"/>
      <c r="V35" s="260"/>
      <c r="W35" s="260"/>
      <c r="X35" s="260"/>
      <c r="Y35" s="260"/>
      <c r="Z35" s="260"/>
      <c r="AA35" s="260"/>
      <c r="AB35" s="260"/>
      <c r="AC35" s="260"/>
    </row>
    <row r="36" spans="1:41" ht="13.15">
      <c r="B36" s="273"/>
      <c r="C36" s="1379"/>
      <c r="D36" s="1381"/>
      <c r="E36" s="274"/>
      <c r="F36" s="400"/>
      <c r="G36" s="399"/>
      <c r="H36" s="400"/>
      <c r="I36" s="399"/>
      <c r="J36" s="270"/>
      <c r="K36" s="270"/>
      <c r="L36" s="270"/>
      <c r="M36" s="270"/>
      <c r="N36" s="270"/>
      <c r="O36" s="270"/>
      <c r="P36" s="260"/>
      <c r="Q36" s="260"/>
      <c r="R36" s="260"/>
      <c r="S36" s="260"/>
      <c r="T36" s="260"/>
      <c r="U36" s="260"/>
      <c r="V36" s="260"/>
      <c r="W36" s="260"/>
      <c r="X36" s="260"/>
      <c r="Y36" s="260"/>
      <c r="Z36" s="260"/>
      <c r="AA36" s="260"/>
      <c r="AB36" s="260"/>
      <c r="AC36" s="260"/>
    </row>
    <row r="37" spans="1:41" ht="13.15">
      <c r="B37" s="273"/>
      <c r="C37" s="1380"/>
      <c r="D37" s="1382"/>
      <c r="E37" s="274"/>
      <c r="F37" s="400"/>
      <c r="G37" s="399"/>
      <c r="H37" s="400"/>
      <c r="I37" s="399"/>
      <c r="J37" s="270"/>
      <c r="K37" s="270"/>
      <c r="L37" s="270"/>
      <c r="M37" s="270"/>
      <c r="N37" s="270"/>
      <c r="O37" s="270"/>
      <c r="P37" s="260"/>
      <c r="Q37" s="260"/>
      <c r="R37" s="260"/>
      <c r="S37" s="260"/>
      <c r="T37" s="260"/>
      <c r="U37" s="260"/>
      <c r="V37" s="260"/>
      <c r="W37" s="260"/>
      <c r="X37" s="260"/>
      <c r="Y37" s="260"/>
      <c r="Z37" s="260"/>
      <c r="AA37" s="260"/>
      <c r="AB37" s="260"/>
      <c r="AC37" s="260"/>
    </row>
    <row r="38" spans="1:41" ht="13.15">
      <c r="B38" s="273"/>
      <c r="C38" s="271" t="str">
        <f>IF(C14="UL94 V-0","Thickness for UL94-V0 rating in data sheet","")</f>
        <v/>
      </c>
      <c r="D38" s="288"/>
      <c r="E38" s="383" t="str">
        <f>IF(C14&lt;&gt;"UL94 V-0","",IF(OR(D38=0,ISBLANK(D38)),"FAIL","PASS"))</f>
        <v/>
      </c>
      <c r="F38" s="400"/>
      <c r="G38" s="399"/>
      <c r="H38" s="400"/>
      <c r="I38" s="399"/>
      <c r="J38" s="270"/>
      <c r="K38" s="270"/>
      <c r="L38" s="270"/>
      <c r="M38" s="270"/>
      <c r="N38" s="270"/>
      <c r="O38" s="270"/>
      <c r="P38" s="260"/>
      <c r="Q38" s="260"/>
      <c r="R38" s="260"/>
      <c r="S38" s="260"/>
      <c r="T38" s="260"/>
      <c r="U38" s="260"/>
      <c r="V38" s="260"/>
      <c r="W38" s="260"/>
      <c r="X38" s="260"/>
      <c r="Y38" s="260"/>
      <c r="Z38" s="260"/>
      <c r="AA38" s="260"/>
      <c r="AB38" s="260"/>
      <c r="AC38" s="260"/>
      <c r="AD38" s="270"/>
      <c r="AE38" s="270"/>
      <c r="AF38" s="270"/>
      <c r="AG38" s="270"/>
      <c r="AH38" s="270"/>
      <c r="AI38" s="270"/>
      <c r="AJ38" s="270"/>
      <c r="AK38" s="270"/>
      <c r="AL38" s="270"/>
      <c r="AM38" s="270"/>
      <c r="AN38" s="270"/>
      <c r="AO38" s="270"/>
    </row>
    <row r="39" spans="1:41" ht="13.15">
      <c r="B39" s="272"/>
      <c r="C39" s="271" t="s">
        <v>567</v>
      </c>
      <c r="D39" s="632"/>
      <c r="E39" s="946" t="str">
        <f>IF(C14="FAR 25.853(a)(1)(i)",IF(ISBLANK(D39),"FAIL","PASS"),IF(AND(D39&gt;=D38,E38="PASS"),"PASS","FAIL"))</f>
        <v>FAIL</v>
      </c>
      <c r="F39" s="400"/>
      <c r="G39" s="399"/>
      <c r="H39" s="400"/>
      <c r="I39" s="399"/>
      <c r="J39" s="270"/>
      <c r="K39" s="270"/>
      <c r="L39" s="270"/>
      <c r="M39" s="270"/>
      <c r="N39" s="270"/>
      <c r="O39" s="270"/>
      <c r="P39" s="260"/>
      <c r="Q39" s="260"/>
      <c r="R39" s="260"/>
      <c r="S39" s="260"/>
      <c r="T39" s="260"/>
      <c r="U39" s="260"/>
      <c r="V39" s="260"/>
      <c r="W39" s="260"/>
      <c r="X39" s="260"/>
      <c r="Y39" s="260"/>
      <c r="Z39" s="260"/>
      <c r="AA39" s="260"/>
      <c r="AB39" s="260"/>
      <c r="AC39" s="260"/>
      <c r="AD39" s="270"/>
      <c r="AE39" s="270"/>
      <c r="AF39" s="270"/>
      <c r="AG39" s="270"/>
      <c r="AH39" s="270"/>
      <c r="AI39" s="270"/>
      <c r="AJ39" s="270"/>
      <c r="AK39" s="270"/>
      <c r="AL39" s="270"/>
      <c r="AM39" s="270"/>
      <c r="AN39" s="270"/>
      <c r="AO39" s="270"/>
    </row>
    <row r="40" spans="1:41">
      <c r="B40" s="1373"/>
      <c r="C40" s="1374"/>
      <c r="D40" s="1374"/>
      <c r="E40" s="1375"/>
      <c r="F40" s="400"/>
      <c r="G40" s="399"/>
      <c r="H40" s="400"/>
      <c r="I40" s="399"/>
      <c r="J40" s="400"/>
      <c r="K40" s="399"/>
      <c r="L40" s="270"/>
      <c r="M40" s="270"/>
      <c r="N40" s="270"/>
      <c r="O40" s="270"/>
      <c r="P40" s="260"/>
      <c r="Q40" s="260"/>
      <c r="R40" s="260"/>
      <c r="S40" s="260"/>
      <c r="T40" s="260"/>
      <c r="U40" s="260"/>
      <c r="V40" s="260"/>
      <c r="W40" s="260"/>
      <c r="X40" s="260"/>
      <c r="Y40" s="260"/>
      <c r="Z40" s="260"/>
      <c r="AA40" s="260"/>
      <c r="AB40" s="260"/>
      <c r="AC40" s="260"/>
      <c r="AD40" s="270"/>
      <c r="AE40" s="270"/>
      <c r="AF40" s="270"/>
      <c r="AG40" s="270"/>
      <c r="AH40" s="270"/>
      <c r="AI40" s="270"/>
      <c r="AJ40" s="270"/>
      <c r="AK40" s="270"/>
      <c r="AL40" s="270"/>
      <c r="AM40" s="270"/>
      <c r="AN40" s="270"/>
      <c r="AO40" s="270"/>
    </row>
    <row r="41" spans="1:41">
      <c r="B41" s="1359" t="s">
        <v>572</v>
      </c>
      <c r="C41" s="1360"/>
      <c r="D41" s="1360"/>
      <c r="E41" s="1361"/>
      <c r="F41" s="270"/>
      <c r="G41" s="270"/>
      <c r="H41" s="270"/>
      <c r="I41" s="270"/>
      <c r="J41" s="270"/>
      <c r="K41" s="270"/>
      <c r="L41" s="270"/>
      <c r="M41" s="270"/>
      <c r="N41" s="270"/>
      <c r="O41" s="270"/>
      <c r="P41" s="260"/>
      <c r="Q41" s="260"/>
      <c r="R41" s="260"/>
      <c r="S41" s="260"/>
      <c r="T41" s="260"/>
      <c r="U41" s="260"/>
      <c r="V41" s="260"/>
      <c r="W41" s="260"/>
      <c r="X41" s="260"/>
      <c r="Y41" s="260"/>
      <c r="Z41" s="260"/>
      <c r="AA41" s="260"/>
      <c r="AB41" s="260"/>
      <c r="AC41" s="260"/>
      <c r="AD41" s="270"/>
      <c r="AE41" s="270"/>
      <c r="AF41" s="270"/>
      <c r="AG41" s="270"/>
      <c r="AH41" s="270"/>
      <c r="AI41" s="270"/>
      <c r="AJ41" s="270"/>
      <c r="AK41" s="270"/>
      <c r="AL41" s="270"/>
      <c r="AM41" s="270"/>
      <c r="AN41" s="270"/>
      <c r="AO41" s="270"/>
    </row>
    <row r="42" spans="1:41">
      <c r="B42" s="1362"/>
      <c r="C42" s="1363"/>
      <c r="D42" s="1363"/>
      <c r="E42" s="1364"/>
      <c r="F42" s="270"/>
      <c r="G42" s="270"/>
      <c r="H42" s="270"/>
      <c r="I42" s="270"/>
      <c r="J42" s="270"/>
      <c r="K42" s="270"/>
      <c r="L42" s="270"/>
      <c r="M42" s="270"/>
      <c r="N42" s="270"/>
      <c r="O42" s="270"/>
      <c r="P42" s="260"/>
      <c r="Q42" s="260"/>
      <c r="R42" s="260"/>
      <c r="S42" s="260"/>
      <c r="T42" s="260"/>
      <c r="U42" s="260"/>
      <c r="V42" s="260"/>
      <c r="W42" s="260"/>
      <c r="X42" s="260"/>
      <c r="Y42" s="260"/>
      <c r="Z42" s="260"/>
      <c r="AA42" s="260"/>
      <c r="AB42" s="260"/>
      <c r="AC42" s="260"/>
      <c r="AD42" s="270"/>
      <c r="AE42" s="270"/>
      <c r="AF42" s="270"/>
      <c r="AG42" s="270"/>
      <c r="AH42" s="270"/>
      <c r="AI42" s="270"/>
      <c r="AJ42" s="270"/>
      <c r="AK42" s="270"/>
      <c r="AL42" s="270"/>
      <c r="AM42" s="270"/>
      <c r="AN42" s="270"/>
      <c r="AO42" s="270"/>
    </row>
    <row r="43" spans="1:41" s="259" customFormat="1">
      <c r="A43" s="258"/>
      <c r="B43" s="270"/>
      <c r="C43" s="270"/>
      <c r="D43" s="270"/>
      <c r="E43" s="270"/>
      <c r="F43" s="270"/>
      <c r="G43" s="270"/>
      <c r="H43" s="270"/>
      <c r="I43" s="270"/>
      <c r="J43" s="270"/>
      <c r="K43" s="270"/>
      <c r="L43" s="270"/>
      <c r="M43" s="270"/>
      <c r="N43" s="270"/>
      <c r="O43" s="27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row>
    <row r="44" spans="1:41" s="259" customFormat="1" ht="13.15">
      <c r="A44" s="258"/>
      <c r="B44" s="406" t="s">
        <v>573</v>
      </c>
      <c r="C44" s="270"/>
      <c r="D44" s="270"/>
      <c r="E44" s="270"/>
      <c r="F44" s="270"/>
      <c r="G44" s="270"/>
      <c r="H44" s="270"/>
      <c r="I44" s="270"/>
      <c r="J44" s="270"/>
      <c r="K44" s="270"/>
      <c r="L44" s="270"/>
      <c r="M44" s="270"/>
      <c r="N44" s="270"/>
      <c r="O44" s="270"/>
      <c r="P44" s="260"/>
      <c r="Q44" s="260"/>
      <c r="R44" s="260"/>
      <c r="S44" s="260"/>
      <c r="T44" s="260"/>
      <c r="U44" s="260"/>
      <c r="V44" s="260"/>
      <c r="W44" s="260"/>
      <c r="X44" s="260"/>
      <c r="Y44" s="260"/>
      <c r="Z44" s="260"/>
      <c r="AA44" s="260"/>
      <c r="AB44" s="260"/>
      <c r="AC44" s="260"/>
      <c r="AD44" s="260"/>
      <c r="AE44" s="260"/>
      <c r="AF44" s="260"/>
      <c r="AG44" s="260"/>
      <c r="AH44" s="260"/>
      <c r="AI44" s="260"/>
      <c r="AJ44" s="260"/>
      <c r="AK44" s="260"/>
      <c r="AL44" s="260"/>
      <c r="AM44" s="260"/>
      <c r="AN44" s="260"/>
      <c r="AO44" s="260"/>
    </row>
    <row r="45" spans="1:41" s="259" customFormat="1">
      <c r="B45" s="269"/>
      <c r="C45" s="268"/>
      <c r="D45" s="268"/>
      <c r="E45" s="268"/>
      <c r="F45" s="268"/>
      <c r="G45" s="268"/>
      <c r="H45" s="268"/>
      <c r="I45" s="268"/>
      <c r="J45" s="268"/>
      <c r="K45" s="268"/>
      <c r="L45" s="268"/>
      <c r="M45" s="268"/>
      <c r="N45" s="268"/>
      <c r="O45" s="267"/>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row>
    <row r="46" spans="1:41" s="259" customFormat="1">
      <c r="B46" s="266"/>
      <c r="C46" s="265"/>
      <c r="D46" s="265"/>
      <c r="E46" s="265"/>
      <c r="F46" s="265"/>
      <c r="G46" s="265"/>
      <c r="H46" s="265"/>
      <c r="I46" s="265"/>
      <c r="J46" s="265"/>
      <c r="K46" s="265"/>
      <c r="L46" s="265"/>
      <c r="M46" s="265"/>
      <c r="N46" s="265"/>
      <c r="O46" s="264"/>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row>
    <row r="47" spans="1:41" s="259" customFormat="1">
      <c r="B47" s="266"/>
      <c r="C47" s="265"/>
      <c r="D47" s="265"/>
      <c r="E47" s="265"/>
      <c r="F47" s="265"/>
      <c r="G47" s="265"/>
      <c r="H47" s="265"/>
      <c r="I47" s="265"/>
      <c r="J47" s="265"/>
      <c r="K47" s="265"/>
      <c r="L47" s="265"/>
      <c r="M47" s="265"/>
      <c r="N47" s="265"/>
      <c r="O47" s="264"/>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row>
    <row r="48" spans="1:41" s="259" customFormat="1">
      <c r="B48" s="266"/>
      <c r="C48" s="265"/>
      <c r="D48" s="265"/>
      <c r="E48" s="265"/>
      <c r="F48" s="265"/>
      <c r="G48" s="265"/>
      <c r="H48" s="265"/>
      <c r="I48" s="265"/>
      <c r="J48" s="265"/>
      <c r="K48" s="265"/>
      <c r="L48" s="265"/>
      <c r="M48" s="265"/>
      <c r="N48" s="265"/>
      <c r="O48" s="264"/>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row>
    <row r="49" spans="2:41" s="259" customFormat="1">
      <c r="B49" s="266"/>
      <c r="C49" s="265"/>
      <c r="D49" s="265"/>
      <c r="E49" s="265"/>
      <c r="F49" s="265"/>
      <c r="G49" s="265"/>
      <c r="H49" s="265"/>
      <c r="I49" s="265"/>
      <c r="J49" s="265"/>
      <c r="K49" s="265"/>
      <c r="L49" s="265"/>
      <c r="M49" s="265"/>
      <c r="N49" s="265"/>
      <c r="O49" s="264"/>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row>
    <row r="50" spans="2:41" s="259" customFormat="1">
      <c r="B50" s="266"/>
      <c r="C50" s="265"/>
      <c r="D50" s="265"/>
      <c r="E50" s="265"/>
      <c r="F50" s="265"/>
      <c r="G50" s="265"/>
      <c r="H50" s="265"/>
      <c r="I50" s="265"/>
      <c r="J50" s="265"/>
      <c r="K50" s="265"/>
      <c r="L50" s="265"/>
      <c r="M50" s="265"/>
      <c r="N50" s="265"/>
      <c r="O50" s="264"/>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row>
    <row r="51" spans="2:41" s="259" customFormat="1">
      <c r="B51" s="266"/>
      <c r="C51" s="265"/>
      <c r="D51" s="265"/>
      <c r="E51" s="265"/>
      <c r="F51" s="265"/>
      <c r="G51" s="265"/>
      <c r="H51" s="265"/>
      <c r="I51" s="265"/>
      <c r="J51" s="265"/>
      <c r="K51" s="265"/>
      <c r="L51" s="265"/>
      <c r="M51" s="265"/>
      <c r="N51" s="265"/>
      <c r="O51" s="264"/>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row>
    <row r="52" spans="2:41" s="259" customFormat="1">
      <c r="B52" s="266"/>
      <c r="C52" s="265"/>
      <c r="D52" s="265"/>
      <c r="E52" s="265"/>
      <c r="F52" s="265"/>
      <c r="G52" s="265"/>
      <c r="H52" s="265"/>
      <c r="I52" s="265"/>
      <c r="J52" s="265"/>
      <c r="K52" s="265"/>
      <c r="L52" s="265"/>
      <c r="M52" s="265"/>
      <c r="N52" s="265"/>
      <c r="O52" s="264"/>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row>
    <row r="53" spans="2:41" s="259" customFormat="1">
      <c r="B53" s="266"/>
      <c r="C53" s="265"/>
      <c r="D53" s="265"/>
      <c r="E53" s="265"/>
      <c r="F53" s="265"/>
      <c r="G53" s="265"/>
      <c r="H53" s="265"/>
      <c r="I53" s="265"/>
      <c r="J53" s="265"/>
      <c r="K53" s="265"/>
      <c r="L53" s="265"/>
      <c r="M53" s="265"/>
      <c r="N53" s="265"/>
      <c r="O53" s="264"/>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row>
    <row r="54" spans="2:41" s="259" customFormat="1">
      <c r="B54" s="266"/>
      <c r="C54" s="265"/>
      <c r="D54" s="265"/>
      <c r="E54" s="265"/>
      <c r="F54" s="265"/>
      <c r="G54" s="265"/>
      <c r="H54" s="265"/>
      <c r="I54" s="265"/>
      <c r="J54" s="265"/>
      <c r="K54" s="265"/>
      <c r="L54" s="265"/>
      <c r="M54" s="265"/>
      <c r="N54" s="265"/>
      <c r="O54" s="264"/>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row>
    <row r="55" spans="2:41" s="259" customFormat="1">
      <c r="B55" s="266"/>
      <c r="C55" s="265"/>
      <c r="D55" s="265"/>
      <c r="E55" s="265"/>
      <c r="F55" s="265"/>
      <c r="G55" s="265"/>
      <c r="H55" s="265"/>
      <c r="I55" s="265"/>
      <c r="J55" s="265"/>
      <c r="K55" s="265"/>
      <c r="L55" s="265"/>
      <c r="M55" s="265"/>
      <c r="N55" s="265"/>
      <c r="O55" s="264"/>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row>
    <row r="56" spans="2:41" s="259" customFormat="1">
      <c r="B56" s="266"/>
      <c r="C56" s="265"/>
      <c r="D56" s="265"/>
      <c r="E56" s="265"/>
      <c r="F56" s="265"/>
      <c r="G56" s="265"/>
      <c r="H56" s="265"/>
      <c r="I56" s="265"/>
      <c r="J56" s="265"/>
      <c r="K56" s="265"/>
      <c r="L56" s="265"/>
      <c r="M56" s="265"/>
      <c r="N56" s="265"/>
      <c r="O56" s="264"/>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row>
    <row r="57" spans="2:41" s="259" customFormat="1">
      <c r="B57" s="266"/>
      <c r="C57" s="265"/>
      <c r="D57" s="265"/>
      <c r="E57" s="265"/>
      <c r="F57" s="265"/>
      <c r="G57" s="265"/>
      <c r="H57" s="265"/>
      <c r="I57" s="265"/>
      <c r="J57" s="265"/>
      <c r="K57" s="265"/>
      <c r="L57" s="265"/>
      <c r="M57" s="265"/>
      <c r="N57" s="265"/>
      <c r="O57" s="264"/>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row>
    <row r="58" spans="2:41" s="259" customFormat="1">
      <c r="B58" s="266"/>
      <c r="C58" s="265"/>
      <c r="D58" s="265"/>
      <c r="E58" s="265"/>
      <c r="F58" s="265"/>
      <c r="G58" s="265"/>
      <c r="H58" s="265"/>
      <c r="I58" s="265"/>
      <c r="J58" s="265"/>
      <c r="K58" s="265"/>
      <c r="L58" s="265"/>
      <c r="M58" s="265"/>
      <c r="N58" s="265"/>
      <c r="O58" s="264"/>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row>
    <row r="59" spans="2:41" s="259" customFormat="1">
      <c r="B59" s="266"/>
      <c r="C59" s="265"/>
      <c r="D59" s="265"/>
      <c r="E59" s="265"/>
      <c r="F59" s="265"/>
      <c r="G59" s="265"/>
      <c r="H59" s="265"/>
      <c r="I59" s="265"/>
      <c r="J59" s="265"/>
      <c r="K59" s="265"/>
      <c r="L59" s="265"/>
      <c r="M59" s="265"/>
      <c r="N59" s="265"/>
      <c r="O59" s="264"/>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row>
    <row r="60" spans="2:41" s="259" customFormat="1">
      <c r="B60" s="266"/>
      <c r="C60" s="265"/>
      <c r="D60" s="265"/>
      <c r="E60" s="265"/>
      <c r="F60" s="265"/>
      <c r="G60" s="265"/>
      <c r="H60" s="265"/>
      <c r="I60" s="265"/>
      <c r="J60" s="265"/>
      <c r="K60" s="265"/>
      <c r="L60" s="265"/>
      <c r="M60" s="265"/>
      <c r="N60" s="265"/>
      <c r="O60" s="264"/>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row>
    <row r="61" spans="2:41" s="259" customFormat="1">
      <c r="B61" s="266"/>
      <c r="C61" s="265"/>
      <c r="D61" s="265"/>
      <c r="E61" s="265"/>
      <c r="F61" s="265"/>
      <c r="G61" s="265"/>
      <c r="H61" s="265"/>
      <c r="I61" s="265"/>
      <c r="J61" s="265"/>
      <c r="K61" s="265"/>
      <c r="L61" s="265"/>
      <c r="M61" s="265"/>
      <c r="N61" s="265"/>
      <c r="O61" s="264"/>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row>
    <row r="62" spans="2:41" s="259" customFormat="1">
      <c r="B62" s="266"/>
      <c r="C62" s="265"/>
      <c r="D62" s="265"/>
      <c r="E62" s="265"/>
      <c r="F62" s="265"/>
      <c r="G62" s="265"/>
      <c r="H62" s="265"/>
      <c r="I62" s="265"/>
      <c r="J62" s="265"/>
      <c r="K62" s="265"/>
      <c r="L62" s="265"/>
      <c r="M62" s="265"/>
      <c r="N62" s="265"/>
      <c r="O62" s="264"/>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row>
    <row r="63" spans="2:41" s="259" customFormat="1">
      <c r="B63" s="266"/>
      <c r="C63" s="265"/>
      <c r="D63" s="265"/>
      <c r="E63" s="265"/>
      <c r="F63" s="265"/>
      <c r="G63" s="265"/>
      <c r="H63" s="265"/>
      <c r="I63" s="265"/>
      <c r="J63" s="265"/>
      <c r="K63" s="265"/>
      <c r="L63" s="265"/>
      <c r="M63" s="265"/>
      <c r="N63" s="265"/>
      <c r="O63" s="264"/>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row>
    <row r="64" spans="2:41" s="259" customFormat="1">
      <c r="B64" s="266"/>
      <c r="C64" s="265"/>
      <c r="D64" s="265"/>
      <c r="E64" s="265"/>
      <c r="F64" s="265"/>
      <c r="G64" s="265"/>
      <c r="H64" s="265"/>
      <c r="I64" s="265"/>
      <c r="J64" s="265"/>
      <c r="K64" s="265"/>
      <c r="L64" s="265"/>
      <c r="M64" s="265"/>
      <c r="N64" s="265"/>
      <c r="O64" s="264"/>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row>
    <row r="65" spans="2:41" s="259" customFormat="1">
      <c r="B65" s="266"/>
      <c r="C65" s="265"/>
      <c r="D65" s="265"/>
      <c r="E65" s="265"/>
      <c r="F65" s="265"/>
      <c r="G65" s="265"/>
      <c r="H65" s="265"/>
      <c r="I65" s="265"/>
      <c r="J65" s="265"/>
      <c r="K65" s="265"/>
      <c r="L65" s="265"/>
      <c r="M65" s="265"/>
      <c r="N65" s="265"/>
      <c r="O65" s="264"/>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row>
    <row r="66" spans="2:41" s="259" customFormat="1">
      <c r="B66" s="266"/>
      <c r="C66" s="265"/>
      <c r="D66" s="265"/>
      <c r="E66" s="265"/>
      <c r="F66" s="265"/>
      <c r="G66" s="265"/>
      <c r="H66" s="265"/>
      <c r="I66" s="265"/>
      <c r="J66" s="265"/>
      <c r="K66" s="265"/>
      <c r="L66" s="265"/>
      <c r="M66" s="265"/>
      <c r="N66" s="265"/>
      <c r="O66" s="264"/>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row>
    <row r="67" spans="2:41" s="259" customFormat="1">
      <c r="B67" s="266"/>
      <c r="C67" s="265"/>
      <c r="D67" s="265"/>
      <c r="E67" s="265"/>
      <c r="F67" s="265"/>
      <c r="G67" s="265"/>
      <c r="H67" s="265"/>
      <c r="I67" s="265"/>
      <c r="J67" s="265"/>
      <c r="K67" s="265"/>
      <c r="L67" s="265"/>
      <c r="M67" s="265"/>
      <c r="N67" s="265"/>
      <c r="O67" s="264"/>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row>
    <row r="68" spans="2:41" s="259" customFormat="1">
      <c r="B68" s="266"/>
      <c r="C68" s="265"/>
      <c r="D68" s="265"/>
      <c r="E68" s="265"/>
      <c r="F68" s="265"/>
      <c r="G68" s="265"/>
      <c r="H68" s="265"/>
      <c r="I68" s="265"/>
      <c r="J68" s="265"/>
      <c r="K68" s="265"/>
      <c r="L68" s="265"/>
      <c r="M68" s="265"/>
      <c r="N68" s="265"/>
      <c r="O68" s="264"/>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row>
    <row r="69" spans="2:41" s="259" customFormat="1">
      <c r="B69" s="266"/>
      <c r="C69" s="265"/>
      <c r="D69" s="265"/>
      <c r="E69" s="265"/>
      <c r="F69" s="265"/>
      <c r="G69" s="265"/>
      <c r="H69" s="265"/>
      <c r="I69" s="265"/>
      <c r="J69" s="265"/>
      <c r="K69" s="265"/>
      <c r="L69" s="265"/>
      <c r="M69" s="265"/>
      <c r="N69" s="265"/>
      <c r="O69" s="264"/>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row>
    <row r="70" spans="2:41" s="259" customFormat="1">
      <c r="B70" s="266"/>
      <c r="C70" s="265"/>
      <c r="D70" s="265"/>
      <c r="E70" s="265"/>
      <c r="F70" s="265"/>
      <c r="G70" s="265"/>
      <c r="H70" s="265"/>
      <c r="I70" s="265"/>
      <c r="J70" s="265"/>
      <c r="K70" s="265"/>
      <c r="L70" s="265"/>
      <c r="M70" s="265"/>
      <c r="N70" s="265"/>
      <c r="O70" s="264"/>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row>
    <row r="71" spans="2:41" s="259" customFormat="1">
      <c r="B71" s="266"/>
      <c r="C71" s="265"/>
      <c r="D71" s="265"/>
      <c r="E71" s="265"/>
      <c r="F71" s="265"/>
      <c r="G71" s="265"/>
      <c r="H71" s="265"/>
      <c r="I71" s="265"/>
      <c r="J71" s="265"/>
      <c r="K71" s="265"/>
      <c r="L71" s="265"/>
      <c r="M71" s="265"/>
      <c r="N71" s="265"/>
      <c r="O71" s="264"/>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row>
    <row r="72" spans="2:41" s="259" customFormat="1">
      <c r="B72" s="266"/>
      <c r="C72" s="265"/>
      <c r="D72" s="265"/>
      <c r="E72" s="265"/>
      <c r="F72" s="265"/>
      <c r="G72" s="265"/>
      <c r="H72" s="265"/>
      <c r="I72" s="265"/>
      <c r="J72" s="265"/>
      <c r="K72" s="265"/>
      <c r="L72" s="265"/>
      <c r="M72" s="265"/>
      <c r="N72" s="265"/>
      <c r="O72" s="264"/>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row>
    <row r="73" spans="2:41" s="259" customFormat="1">
      <c r="B73" s="266"/>
      <c r="C73" s="265"/>
      <c r="D73" s="265"/>
      <c r="E73" s="265"/>
      <c r="F73" s="265"/>
      <c r="G73" s="265"/>
      <c r="H73" s="265"/>
      <c r="I73" s="265"/>
      <c r="J73" s="265"/>
      <c r="K73" s="265"/>
      <c r="L73" s="265"/>
      <c r="M73" s="265"/>
      <c r="N73" s="265"/>
      <c r="O73" s="264"/>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row>
    <row r="74" spans="2:41" s="259" customFormat="1">
      <c r="B74" s="266"/>
      <c r="C74" s="265"/>
      <c r="D74" s="265"/>
      <c r="E74" s="265"/>
      <c r="F74" s="265"/>
      <c r="G74" s="265"/>
      <c r="H74" s="265"/>
      <c r="I74" s="265"/>
      <c r="J74" s="265"/>
      <c r="K74" s="265"/>
      <c r="L74" s="265"/>
      <c r="M74" s="265"/>
      <c r="N74" s="265"/>
      <c r="O74" s="264"/>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row>
    <row r="75" spans="2:41" s="259" customFormat="1">
      <c r="B75" s="266"/>
      <c r="C75" s="265"/>
      <c r="D75" s="265"/>
      <c r="E75" s="265"/>
      <c r="F75" s="265"/>
      <c r="G75" s="265"/>
      <c r="H75" s="265"/>
      <c r="I75" s="265"/>
      <c r="J75" s="265"/>
      <c r="K75" s="265"/>
      <c r="L75" s="265"/>
      <c r="M75" s="265"/>
      <c r="N75" s="265"/>
      <c r="O75" s="264"/>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row>
    <row r="76" spans="2:41" s="259" customFormat="1">
      <c r="B76" s="266"/>
      <c r="C76" s="265"/>
      <c r="D76" s="265"/>
      <c r="E76" s="265"/>
      <c r="F76" s="265"/>
      <c r="G76" s="265"/>
      <c r="H76" s="265"/>
      <c r="I76" s="265"/>
      <c r="J76" s="265"/>
      <c r="K76" s="265"/>
      <c r="L76" s="265"/>
      <c r="M76" s="265"/>
      <c r="N76" s="265"/>
      <c r="O76" s="264"/>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row>
    <row r="77" spans="2:41" s="259" customFormat="1">
      <c r="B77" s="266"/>
      <c r="C77" s="265"/>
      <c r="D77" s="265"/>
      <c r="E77" s="265"/>
      <c r="F77" s="265"/>
      <c r="G77" s="265"/>
      <c r="H77" s="265"/>
      <c r="I77" s="265"/>
      <c r="J77" s="265"/>
      <c r="K77" s="265"/>
      <c r="L77" s="265"/>
      <c r="M77" s="265"/>
      <c r="N77" s="265"/>
      <c r="O77" s="264"/>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row>
    <row r="78" spans="2:41" s="259" customFormat="1">
      <c r="B78" s="266"/>
      <c r="C78" s="265"/>
      <c r="D78" s="265"/>
      <c r="E78" s="265"/>
      <c r="F78" s="265"/>
      <c r="G78" s="265"/>
      <c r="H78" s="265"/>
      <c r="I78" s="265"/>
      <c r="J78" s="265"/>
      <c r="K78" s="265"/>
      <c r="L78" s="265"/>
      <c r="M78" s="265"/>
      <c r="N78" s="265"/>
      <c r="O78" s="264"/>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row>
    <row r="79" spans="2:41" s="259" customFormat="1">
      <c r="B79" s="266"/>
      <c r="C79" s="265"/>
      <c r="D79" s="265"/>
      <c r="E79" s="265"/>
      <c r="F79" s="265"/>
      <c r="G79" s="265"/>
      <c r="H79" s="265"/>
      <c r="I79" s="265"/>
      <c r="J79" s="265"/>
      <c r="K79" s="265"/>
      <c r="L79" s="265"/>
      <c r="M79" s="265"/>
      <c r="N79" s="265"/>
      <c r="O79" s="264"/>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row>
    <row r="80" spans="2:41" s="259" customFormat="1">
      <c r="B80" s="266"/>
      <c r="C80" s="265"/>
      <c r="D80" s="265"/>
      <c r="E80" s="265"/>
      <c r="F80" s="265"/>
      <c r="G80" s="265"/>
      <c r="H80" s="265"/>
      <c r="I80" s="265"/>
      <c r="J80" s="265"/>
      <c r="K80" s="265"/>
      <c r="L80" s="265"/>
      <c r="M80" s="265"/>
      <c r="N80" s="265"/>
      <c r="O80" s="264"/>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row>
    <row r="81" spans="2:41" s="259" customFormat="1">
      <c r="B81" s="266"/>
      <c r="C81" s="265"/>
      <c r="D81" s="265"/>
      <c r="E81" s="265"/>
      <c r="F81" s="265"/>
      <c r="G81" s="265"/>
      <c r="H81" s="265"/>
      <c r="I81" s="265"/>
      <c r="J81" s="265"/>
      <c r="K81" s="265"/>
      <c r="L81" s="265"/>
      <c r="M81" s="265"/>
      <c r="N81" s="265"/>
      <c r="O81" s="264"/>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row>
    <row r="82" spans="2:41" s="259" customFormat="1">
      <c r="B82" s="266"/>
      <c r="C82" s="265"/>
      <c r="D82" s="265"/>
      <c r="E82" s="265"/>
      <c r="F82" s="265"/>
      <c r="G82" s="265"/>
      <c r="H82" s="265"/>
      <c r="I82" s="265"/>
      <c r="J82" s="265"/>
      <c r="K82" s="265"/>
      <c r="L82" s="265"/>
      <c r="M82" s="265"/>
      <c r="N82" s="265"/>
      <c r="O82" s="264"/>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row>
    <row r="83" spans="2:41" s="259" customFormat="1">
      <c r="B83" s="266"/>
      <c r="C83" s="265"/>
      <c r="D83" s="265"/>
      <c r="E83" s="265"/>
      <c r="F83" s="265"/>
      <c r="G83" s="265"/>
      <c r="H83" s="265"/>
      <c r="I83" s="265"/>
      <c r="J83" s="265"/>
      <c r="K83" s="265"/>
      <c r="L83" s="265"/>
      <c r="M83" s="265"/>
      <c r="N83" s="265"/>
      <c r="O83" s="264"/>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row>
    <row r="84" spans="2:41" s="259" customFormat="1">
      <c r="B84" s="266"/>
      <c r="C84" s="265"/>
      <c r="D84" s="265"/>
      <c r="E84" s="265"/>
      <c r="F84" s="265"/>
      <c r="G84" s="265"/>
      <c r="H84" s="265"/>
      <c r="I84" s="265"/>
      <c r="J84" s="265"/>
      <c r="K84" s="265"/>
      <c r="L84" s="265"/>
      <c r="M84" s="265"/>
      <c r="N84" s="265"/>
      <c r="O84" s="264"/>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row>
    <row r="85" spans="2:41" s="259" customFormat="1">
      <c r="B85" s="266"/>
      <c r="C85" s="265"/>
      <c r="D85" s="265"/>
      <c r="E85" s="265"/>
      <c r="F85" s="265"/>
      <c r="G85" s="265"/>
      <c r="H85" s="265"/>
      <c r="I85" s="265"/>
      <c r="J85" s="265"/>
      <c r="K85" s="265"/>
      <c r="L85" s="265"/>
      <c r="M85" s="265"/>
      <c r="N85" s="265"/>
      <c r="O85" s="264"/>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row>
    <row r="86" spans="2:41" s="259" customFormat="1">
      <c r="B86" s="266"/>
      <c r="C86" s="265"/>
      <c r="D86" s="265"/>
      <c r="E86" s="265"/>
      <c r="F86" s="265"/>
      <c r="G86" s="265"/>
      <c r="H86" s="265"/>
      <c r="I86" s="265"/>
      <c r="J86" s="265"/>
      <c r="K86" s="265"/>
      <c r="L86" s="265"/>
      <c r="M86" s="265"/>
      <c r="N86" s="265"/>
      <c r="O86" s="264"/>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row>
    <row r="87" spans="2:41" s="259" customFormat="1">
      <c r="B87" s="266"/>
      <c r="C87" s="265"/>
      <c r="D87" s="265"/>
      <c r="E87" s="265"/>
      <c r="F87" s="265"/>
      <c r="G87" s="265"/>
      <c r="H87" s="265"/>
      <c r="I87" s="265"/>
      <c r="J87" s="265"/>
      <c r="K87" s="265"/>
      <c r="L87" s="265"/>
      <c r="M87" s="265"/>
      <c r="N87" s="265"/>
      <c r="O87" s="264"/>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row>
    <row r="88" spans="2:41" s="259" customFormat="1">
      <c r="B88" s="266"/>
      <c r="C88" s="265"/>
      <c r="D88" s="265"/>
      <c r="E88" s="265"/>
      <c r="F88" s="265"/>
      <c r="G88" s="265"/>
      <c r="H88" s="265"/>
      <c r="I88" s="265"/>
      <c r="J88" s="265"/>
      <c r="K88" s="265"/>
      <c r="L88" s="265"/>
      <c r="M88" s="265"/>
      <c r="N88" s="265"/>
      <c r="O88" s="264"/>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row>
    <row r="89" spans="2:41" s="259" customFormat="1">
      <c r="B89" s="266"/>
      <c r="C89" s="265"/>
      <c r="D89" s="265"/>
      <c r="E89" s="265"/>
      <c r="F89" s="265"/>
      <c r="G89" s="265"/>
      <c r="H89" s="265"/>
      <c r="I89" s="265"/>
      <c r="J89" s="265"/>
      <c r="K89" s="265"/>
      <c r="L89" s="265"/>
      <c r="M89" s="265"/>
      <c r="N89" s="265"/>
      <c r="O89" s="264"/>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row>
    <row r="90" spans="2:41" s="259" customFormat="1">
      <c r="B90" s="266"/>
      <c r="C90" s="265"/>
      <c r="D90" s="265"/>
      <c r="E90" s="265"/>
      <c r="F90" s="265"/>
      <c r="G90" s="265"/>
      <c r="H90" s="265"/>
      <c r="I90" s="265"/>
      <c r="J90" s="265"/>
      <c r="K90" s="265"/>
      <c r="L90" s="265"/>
      <c r="M90" s="265"/>
      <c r="N90" s="265"/>
      <c r="O90" s="264"/>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row>
    <row r="91" spans="2:41" s="259" customFormat="1">
      <c r="B91" s="266"/>
      <c r="C91" s="265"/>
      <c r="D91" s="265"/>
      <c r="E91" s="265"/>
      <c r="F91" s="265"/>
      <c r="G91" s="265"/>
      <c r="H91" s="265"/>
      <c r="I91" s="265"/>
      <c r="J91" s="265"/>
      <c r="K91" s="265"/>
      <c r="L91" s="265"/>
      <c r="M91" s="265"/>
      <c r="N91" s="265"/>
      <c r="O91" s="264"/>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row>
    <row r="92" spans="2:41" s="259" customFormat="1">
      <c r="B92" s="266"/>
      <c r="C92" s="265"/>
      <c r="D92" s="265"/>
      <c r="E92" s="265"/>
      <c r="F92" s="265"/>
      <c r="G92" s="265"/>
      <c r="H92" s="265"/>
      <c r="I92" s="265"/>
      <c r="J92" s="265"/>
      <c r="K92" s="265"/>
      <c r="L92" s="265"/>
      <c r="M92" s="265"/>
      <c r="N92" s="265"/>
      <c r="O92" s="264"/>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row>
    <row r="93" spans="2:41" s="259" customFormat="1">
      <c r="B93" s="266"/>
      <c r="C93" s="265"/>
      <c r="D93" s="265"/>
      <c r="E93" s="265"/>
      <c r="F93" s="265"/>
      <c r="G93" s="265"/>
      <c r="H93" s="265"/>
      <c r="I93" s="265"/>
      <c r="J93" s="265"/>
      <c r="K93" s="265"/>
      <c r="L93" s="265"/>
      <c r="M93" s="265"/>
      <c r="N93" s="265"/>
      <c r="O93" s="264"/>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row>
    <row r="94" spans="2:41" s="259" customFormat="1">
      <c r="B94" s="266"/>
      <c r="C94" s="265"/>
      <c r="D94" s="265"/>
      <c r="E94" s="265"/>
      <c r="F94" s="265"/>
      <c r="G94" s="265"/>
      <c r="H94" s="265"/>
      <c r="I94" s="265"/>
      <c r="J94" s="265"/>
      <c r="K94" s="265"/>
      <c r="L94" s="265"/>
      <c r="M94" s="265"/>
      <c r="N94" s="265"/>
      <c r="O94" s="264"/>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row>
    <row r="95" spans="2:41" s="259" customFormat="1">
      <c r="B95" s="266"/>
      <c r="C95" s="265"/>
      <c r="D95" s="265"/>
      <c r="E95" s="265"/>
      <c r="F95" s="265"/>
      <c r="G95" s="265"/>
      <c r="H95" s="265"/>
      <c r="I95" s="265"/>
      <c r="J95" s="265"/>
      <c r="K95" s="265"/>
      <c r="L95" s="265"/>
      <c r="M95" s="265"/>
      <c r="N95" s="265"/>
      <c r="O95" s="264"/>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row>
    <row r="96" spans="2:41" s="259" customFormat="1">
      <c r="B96" s="266"/>
      <c r="C96" s="265"/>
      <c r="D96" s="265"/>
      <c r="E96" s="265"/>
      <c r="F96" s="265"/>
      <c r="G96" s="265"/>
      <c r="H96" s="265"/>
      <c r="I96" s="265"/>
      <c r="J96" s="265"/>
      <c r="K96" s="265"/>
      <c r="L96" s="265"/>
      <c r="M96" s="265"/>
      <c r="N96" s="265"/>
      <c r="O96" s="264"/>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row>
    <row r="97" spans="2:41" s="259" customFormat="1">
      <c r="B97" s="266"/>
      <c r="C97" s="265"/>
      <c r="D97" s="265"/>
      <c r="E97" s="265"/>
      <c r="F97" s="265"/>
      <c r="G97" s="265"/>
      <c r="H97" s="265"/>
      <c r="I97" s="265"/>
      <c r="J97" s="265"/>
      <c r="K97" s="265"/>
      <c r="L97" s="265"/>
      <c r="M97" s="265"/>
      <c r="N97" s="265"/>
      <c r="O97" s="264"/>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row>
    <row r="98" spans="2:41" s="259" customFormat="1">
      <c r="B98" s="266"/>
      <c r="C98" s="265"/>
      <c r="D98" s="265"/>
      <c r="E98" s="265"/>
      <c r="F98" s="265"/>
      <c r="G98" s="265"/>
      <c r="H98" s="265"/>
      <c r="I98" s="265"/>
      <c r="J98" s="265"/>
      <c r="K98" s="265"/>
      <c r="L98" s="265"/>
      <c r="M98" s="265"/>
      <c r="N98" s="265"/>
      <c r="O98" s="264"/>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row>
    <row r="99" spans="2:41" s="259" customFormat="1">
      <c r="B99" s="263"/>
      <c r="C99" s="262"/>
      <c r="D99" s="262"/>
      <c r="E99" s="262"/>
      <c r="F99" s="262"/>
      <c r="G99" s="262"/>
      <c r="H99" s="262"/>
      <c r="I99" s="262"/>
      <c r="J99" s="262"/>
      <c r="K99" s="262"/>
      <c r="L99" s="262"/>
      <c r="M99" s="262"/>
      <c r="N99" s="262"/>
      <c r="O99" s="261"/>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row>
    <row r="100" spans="2:41" s="259" customFormat="1">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row>
    <row r="101" spans="2:41" s="259" customFormat="1">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row>
    <row r="102" spans="2:41" s="259" customFormat="1">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row>
    <row r="103" spans="2:41" s="259" customFormat="1">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row>
    <row r="104" spans="2:41" s="259" customFormat="1">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row>
    <row r="105" spans="2:41" s="259" customFormat="1">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row>
    <row r="106" spans="2:41" s="259" customFormat="1">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row>
    <row r="107" spans="2:41" s="259" customFormat="1">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row>
    <row r="108" spans="2:41" s="259" customFormat="1">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row>
    <row r="109" spans="2:41" s="259" customFormat="1">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row>
    <row r="110" spans="2:41" s="259" customFormat="1">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row>
    <row r="111" spans="2:41" s="259" customFormat="1">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row>
    <row r="112" spans="2:41" s="259" customFormat="1">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row>
    <row r="113" spans="16:41" s="259" customFormat="1">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row>
    <row r="114" spans="16:41" s="259" customFormat="1">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row>
    <row r="115" spans="16:41" s="259" customFormat="1">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row>
    <row r="116" spans="16:41" s="259" customFormat="1">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row>
    <row r="117" spans="16:41" s="259" customFormat="1">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row>
    <row r="118" spans="16:41" s="259" customFormat="1">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row>
    <row r="119" spans="16:41" s="259" customFormat="1">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row>
    <row r="120" spans="16:41" s="259" customFormat="1">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row>
    <row r="121" spans="16:41" s="259" customFormat="1">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row>
    <row r="122" spans="16:41" s="259" customFormat="1">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row>
    <row r="123" spans="16:41" s="259" customFormat="1">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row>
    <row r="124" spans="16:41" s="259" customFormat="1">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row>
    <row r="125" spans="16:41" s="259" customFormat="1">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row>
    <row r="126" spans="16:41" s="259" customFormat="1">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row>
    <row r="127" spans="16:41" s="259" customFormat="1">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row>
    <row r="128" spans="16:41" s="259" customFormat="1">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row>
    <row r="129" spans="16:41" s="259" customFormat="1">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row>
    <row r="130" spans="16:41" s="259" customFormat="1">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row>
    <row r="131" spans="16:41" s="259" customFormat="1">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row>
    <row r="132" spans="16:41" s="259" customFormat="1">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row>
    <row r="133" spans="16:41" s="259" customFormat="1">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row>
    <row r="134" spans="16:41" s="259" customFormat="1">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row>
    <row r="135" spans="16:41" s="259" customFormat="1">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row>
    <row r="136" spans="16:41" s="259" customFormat="1">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row>
    <row r="137" spans="16:41" s="259" customFormat="1">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row>
    <row r="138" spans="16:41" s="259" customFormat="1">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row>
    <row r="139" spans="16:41" s="259" customFormat="1">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row>
    <row r="140" spans="16:41" s="259" customFormat="1">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row>
    <row r="141" spans="16:41" s="259" customFormat="1">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row>
    <row r="142" spans="16:41" s="259" customFormat="1">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row>
    <row r="143" spans="16:41" s="259" customFormat="1">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row>
    <row r="144" spans="16:41" s="259" customFormat="1">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row>
    <row r="145" spans="16:41" s="259" customFormat="1">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row>
    <row r="146" spans="16:41" s="259" customFormat="1">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row>
    <row r="147" spans="16:41" s="259" customFormat="1">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row>
    <row r="148" spans="16:41" s="259" customFormat="1">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row>
    <row r="149" spans="16:41" s="259" customFormat="1">
      <c r="P149" s="260"/>
      <c r="Q149" s="260"/>
      <c r="R149" s="260"/>
      <c r="S149" s="260"/>
      <c r="T149" s="260"/>
      <c r="U149" s="260"/>
      <c r="V149" s="260"/>
      <c r="W149" s="260"/>
      <c r="X149" s="260"/>
      <c r="Y149" s="260"/>
      <c r="Z149" s="260"/>
      <c r="AA149" s="260"/>
      <c r="AB149" s="260"/>
      <c r="AC149" s="260"/>
      <c r="AD149" s="260"/>
      <c r="AE149" s="260"/>
      <c r="AF149" s="260"/>
      <c r="AG149" s="260"/>
      <c r="AH149" s="260"/>
      <c r="AI149" s="260"/>
      <c r="AJ149" s="260"/>
      <c r="AK149" s="260"/>
      <c r="AL149" s="260"/>
      <c r="AM149" s="260"/>
      <c r="AN149" s="260"/>
      <c r="AO149" s="260"/>
    </row>
    <row r="150" spans="16:41" s="259" customFormat="1">
      <c r="P150" s="260"/>
      <c r="Q150" s="260"/>
      <c r="R150" s="260"/>
      <c r="S150" s="260"/>
      <c r="T150" s="260"/>
      <c r="U150" s="260"/>
      <c r="V150" s="260"/>
      <c r="W150" s="260"/>
      <c r="X150" s="260"/>
      <c r="Y150" s="260"/>
      <c r="Z150" s="260"/>
      <c r="AA150" s="260"/>
      <c r="AB150" s="260"/>
      <c r="AC150" s="260"/>
      <c r="AD150" s="260"/>
      <c r="AE150" s="260"/>
      <c r="AF150" s="260"/>
      <c r="AG150" s="260"/>
      <c r="AH150" s="260"/>
      <c r="AI150" s="260"/>
      <c r="AJ150" s="260"/>
      <c r="AK150" s="260"/>
      <c r="AL150" s="260"/>
      <c r="AM150" s="260"/>
      <c r="AN150" s="260"/>
      <c r="AO150" s="260"/>
    </row>
    <row r="151" spans="16:41" s="259" customFormat="1">
      <c r="P151" s="260"/>
      <c r="Q151" s="260"/>
      <c r="R151" s="260"/>
      <c r="S151" s="260"/>
      <c r="T151" s="260"/>
      <c r="U151" s="260"/>
      <c r="V151" s="260"/>
      <c r="W151" s="260"/>
      <c r="X151" s="260"/>
      <c r="Y151" s="260"/>
      <c r="Z151" s="260"/>
      <c r="AA151" s="260"/>
      <c r="AB151" s="260"/>
      <c r="AC151" s="260"/>
      <c r="AD151" s="260"/>
      <c r="AE151" s="260"/>
      <c r="AF151" s="260"/>
      <c r="AG151" s="260"/>
      <c r="AH151" s="260"/>
      <c r="AI151" s="260"/>
      <c r="AJ151" s="260"/>
      <c r="AK151" s="260"/>
      <c r="AL151" s="260"/>
      <c r="AM151" s="260"/>
      <c r="AN151" s="260"/>
      <c r="AO151" s="260"/>
    </row>
    <row r="152" spans="16:41" s="259" customFormat="1">
      <c r="P152" s="260"/>
      <c r="Q152" s="260"/>
      <c r="R152" s="260"/>
      <c r="S152" s="260"/>
      <c r="T152" s="260"/>
      <c r="U152" s="260"/>
      <c r="V152" s="260"/>
      <c r="W152" s="260"/>
      <c r="X152" s="260"/>
      <c r="Y152" s="260"/>
      <c r="Z152" s="260"/>
      <c r="AA152" s="260"/>
      <c r="AB152" s="260"/>
      <c r="AC152" s="260"/>
      <c r="AD152" s="260"/>
      <c r="AE152" s="260"/>
      <c r="AF152" s="260"/>
      <c r="AG152" s="260"/>
      <c r="AH152" s="260"/>
      <c r="AI152" s="260"/>
      <c r="AJ152" s="260"/>
      <c r="AK152" s="260"/>
      <c r="AL152" s="260"/>
      <c r="AM152" s="260"/>
      <c r="AN152" s="260"/>
      <c r="AO152" s="260"/>
    </row>
    <row r="153" spans="16:41" s="259" customFormat="1">
      <c r="P153" s="260"/>
      <c r="Q153" s="260"/>
      <c r="R153" s="260"/>
      <c r="S153" s="260"/>
      <c r="T153" s="260"/>
      <c r="U153" s="260"/>
      <c r="V153" s="260"/>
      <c r="W153" s="260"/>
      <c r="X153" s="260"/>
      <c r="Y153" s="260"/>
      <c r="Z153" s="260"/>
      <c r="AA153" s="260"/>
      <c r="AB153" s="260"/>
      <c r="AC153" s="260"/>
      <c r="AD153" s="260"/>
      <c r="AE153" s="260"/>
      <c r="AF153" s="260"/>
      <c r="AG153" s="260"/>
      <c r="AH153" s="260"/>
      <c r="AI153" s="260"/>
      <c r="AJ153" s="260"/>
      <c r="AK153" s="260"/>
      <c r="AL153" s="260"/>
      <c r="AM153" s="260"/>
      <c r="AN153" s="260"/>
      <c r="AO153" s="260"/>
    </row>
    <row r="154" spans="16:41" s="259" customFormat="1">
      <c r="P154" s="260"/>
      <c r="Q154" s="260"/>
      <c r="R154" s="260"/>
      <c r="S154" s="260"/>
      <c r="T154" s="260"/>
      <c r="U154" s="260"/>
      <c r="V154" s="260"/>
      <c r="W154" s="260"/>
      <c r="X154" s="260"/>
      <c r="Y154" s="260"/>
      <c r="Z154" s="260"/>
      <c r="AA154" s="260"/>
      <c r="AB154" s="260"/>
      <c r="AC154" s="260"/>
      <c r="AD154" s="260"/>
      <c r="AE154" s="260"/>
      <c r="AF154" s="260"/>
      <c r="AG154" s="260"/>
      <c r="AH154" s="260"/>
      <c r="AI154" s="260"/>
      <c r="AJ154" s="260"/>
      <c r="AK154" s="260"/>
      <c r="AL154" s="260"/>
      <c r="AM154" s="260"/>
      <c r="AN154" s="260"/>
      <c r="AO154" s="260"/>
    </row>
    <row r="155" spans="16:41" s="259" customFormat="1">
      <c r="P155" s="260"/>
      <c r="Q155" s="260"/>
      <c r="R155" s="260"/>
      <c r="S155" s="260"/>
      <c r="T155" s="260"/>
      <c r="U155" s="260"/>
      <c r="V155" s="260"/>
      <c r="W155" s="260"/>
      <c r="X155" s="260"/>
      <c r="Y155" s="260"/>
      <c r="Z155" s="260"/>
      <c r="AA155" s="260"/>
      <c r="AB155" s="260"/>
      <c r="AC155" s="260"/>
      <c r="AD155" s="260"/>
      <c r="AE155" s="260"/>
      <c r="AF155" s="260"/>
      <c r="AG155" s="260"/>
      <c r="AH155" s="260"/>
      <c r="AI155" s="260"/>
      <c r="AJ155" s="260"/>
      <c r="AK155" s="260"/>
      <c r="AL155" s="260"/>
      <c r="AM155" s="260"/>
      <c r="AN155" s="260"/>
      <c r="AO155" s="260"/>
    </row>
    <row r="156" spans="16:41" s="259" customFormat="1">
      <c r="P156" s="260"/>
      <c r="Q156" s="260"/>
      <c r="R156" s="260"/>
      <c r="S156" s="260"/>
      <c r="T156" s="260"/>
      <c r="U156" s="260"/>
      <c r="V156" s="260"/>
      <c r="W156" s="260"/>
      <c r="X156" s="260"/>
      <c r="Y156" s="260"/>
      <c r="Z156" s="260"/>
      <c r="AA156" s="260"/>
      <c r="AB156" s="260"/>
      <c r="AC156" s="260"/>
      <c r="AD156" s="260"/>
      <c r="AE156" s="260"/>
      <c r="AF156" s="260"/>
      <c r="AG156" s="260"/>
      <c r="AH156" s="260"/>
      <c r="AI156" s="260"/>
      <c r="AJ156" s="260"/>
      <c r="AK156" s="260"/>
      <c r="AL156" s="260"/>
      <c r="AM156" s="260"/>
      <c r="AN156" s="260"/>
      <c r="AO156" s="260"/>
    </row>
    <row r="157" spans="16:41" s="259" customFormat="1">
      <c r="P157" s="260"/>
      <c r="Q157" s="260"/>
      <c r="R157" s="260"/>
      <c r="S157" s="260"/>
      <c r="T157" s="260"/>
      <c r="U157" s="260"/>
      <c r="V157" s="260"/>
      <c r="W157" s="260"/>
      <c r="X157" s="260"/>
      <c r="Y157" s="260"/>
      <c r="Z157" s="260"/>
      <c r="AA157" s="260"/>
      <c r="AB157" s="260"/>
      <c r="AC157" s="260"/>
      <c r="AD157" s="260"/>
      <c r="AE157" s="260"/>
      <c r="AF157" s="260"/>
      <c r="AG157" s="260"/>
      <c r="AH157" s="260"/>
      <c r="AI157" s="260"/>
      <c r="AJ157" s="260"/>
      <c r="AK157" s="260"/>
      <c r="AL157" s="260"/>
      <c r="AM157" s="260"/>
      <c r="AN157" s="260"/>
      <c r="AO157" s="260"/>
    </row>
    <row r="158" spans="16:41" s="259" customFormat="1">
      <c r="P158" s="260"/>
      <c r="Q158" s="260"/>
      <c r="R158" s="260"/>
      <c r="S158" s="260"/>
      <c r="T158" s="260"/>
      <c r="U158" s="260"/>
      <c r="V158" s="260"/>
      <c r="W158" s="260"/>
      <c r="X158" s="260"/>
      <c r="Y158" s="260"/>
      <c r="Z158" s="260"/>
      <c r="AA158" s="260"/>
      <c r="AB158" s="260"/>
      <c r="AC158" s="260"/>
      <c r="AD158" s="260"/>
      <c r="AE158" s="260"/>
      <c r="AF158" s="260"/>
      <c r="AG158" s="260"/>
      <c r="AH158" s="260"/>
      <c r="AI158" s="260"/>
      <c r="AJ158" s="260"/>
      <c r="AK158" s="260"/>
      <c r="AL158" s="260"/>
      <c r="AM158" s="260"/>
      <c r="AN158" s="260"/>
      <c r="AO158" s="260"/>
    </row>
    <row r="159" spans="16:41" s="259" customFormat="1">
      <c r="P159" s="260"/>
      <c r="Q159" s="260"/>
      <c r="R159" s="260"/>
      <c r="S159" s="260"/>
      <c r="T159" s="260"/>
      <c r="U159" s="260"/>
      <c r="V159" s="260"/>
      <c r="W159" s="260"/>
      <c r="X159" s="260"/>
      <c r="Y159" s="260"/>
      <c r="Z159" s="260"/>
      <c r="AA159" s="260"/>
      <c r="AB159" s="260"/>
      <c r="AC159" s="260"/>
      <c r="AD159" s="260"/>
      <c r="AE159" s="260"/>
      <c r="AF159" s="260"/>
      <c r="AG159" s="260"/>
      <c r="AH159" s="260"/>
      <c r="AI159" s="260"/>
      <c r="AJ159" s="260"/>
      <c r="AK159" s="260"/>
      <c r="AL159" s="260"/>
      <c r="AM159" s="260"/>
      <c r="AN159" s="260"/>
      <c r="AO159" s="260"/>
    </row>
    <row r="160" spans="16:41" s="259" customFormat="1">
      <c r="P160" s="260"/>
      <c r="Q160" s="260"/>
      <c r="R160" s="260"/>
      <c r="S160" s="260"/>
      <c r="T160" s="260"/>
      <c r="U160" s="260"/>
      <c r="V160" s="260"/>
      <c r="W160" s="260"/>
      <c r="X160" s="260"/>
      <c r="Y160" s="260"/>
      <c r="Z160" s="260"/>
      <c r="AA160" s="260"/>
      <c r="AB160" s="260"/>
      <c r="AC160" s="260"/>
      <c r="AD160" s="260"/>
      <c r="AE160" s="260"/>
      <c r="AF160" s="260"/>
      <c r="AG160" s="260"/>
      <c r="AH160" s="260"/>
      <c r="AI160" s="260"/>
      <c r="AJ160" s="260"/>
      <c r="AK160" s="260"/>
      <c r="AL160" s="260"/>
      <c r="AM160" s="260"/>
      <c r="AN160" s="260"/>
      <c r="AO160" s="260"/>
    </row>
    <row r="161" spans="16:41" s="259" customFormat="1">
      <c r="P161" s="260"/>
      <c r="Q161" s="260"/>
      <c r="R161" s="260"/>
      <c r="S161" s="260"/>
      <c r="T161" s="260"/>
      <c r="U161" s="260"/>
      <c r="V161" s="260"/>
      <c r="W161" s="260"/>
      <c r="X161" s="260"/>
      <c r="Y161" s="260"/>
      <c r="Z161" s="260"/>
      <c r="AA161" s="260"/>
      <c r="AB161" s="260"/>
      <c r="AC161" s="260"/>
      <c r="AD161" s="260"/>
      <c r="AE161" s="260"/>
      <c r="AF161" s="260"/>
      <c r="AG161" s="260"/>
      <c r="AH161" s="260"/>
      <c r="AI161" s="260"/>
      <c r="AJ161" s="260"/>
      <c r="AK161" s="260"/>
      <c r="AL161" s="260"/>
      <c r="AM161" s="260"/>
      <c r="AN161" s="260"/>
      <c r="AO161" s="260"/>
    </row>
    <row r="162" spans="16:41" s="259" customFormat="1">
      <c r="P162" s="260"/>
      <c r="Q162" s="260"/>
      <c r="R162" s="260"/>
      <c r="S162" s="260"/>
      <c r="T162" s="260"/>
      <c r="U162" s="260"/>
      <c r="V162" s="260"/>
      <c r="W162" s="260"/>
      <c r="X162" s="260"/>
      <c r="Y162" s="260"/>
      <c r="Z162" s="260"/>
      <c r="AA162" s="260"/>
      <c r="AB162" s="260"/>
      <c r="AC162" s="260"/>
      <c r="AD162" s="260"/>
      <c r="AE162" s="260"/>
      <c r="AF162" s="260"/>
      <c r="AG162" s="260"/>
      <c r="AH162" s="260"/>
      <c r="AI162" s="260"/>
      <c r="AJ162" s="260"/>
      <c r="AK162" s="260"/>
      <c r="AL162" s="260"/>
      <c r="AM162" s="260"/>
      <c r="AN162" s="260"/>
      <c r="AO162" s="260"/>
    </row>
    <row r="163" spans="16:41" s="259" customFormat="1">
      <c r="P163" s="260"/>
      <c r="Q163" s="260"/>
      <c r="R163" s="260"/>
      <c r="S163" s="260"/>
      <c r="T163" s="260"/>
      <c r="U163" s="260"/>
      <c r="V163" s="260"/>
      <c r="W163" s="260"/>
      <c r="X163" s="260"/>
      <c r="Y163" s="260"/>
      <c r="Z163" s="260"/>
      <c r="AA163" s="260"/>
      <c r="AB163" s="260"/>
      <c r="AC163" s="260"/>
      <c r="AD163" s="260"/>
      <c r="AE163" s="260"/>
      <c r="AF163" s="260"/>
      <c r="AG163" s="260"/>
      <c r="AH163" s="260"/>
      <c r="AI163" s="260"/>
      <c r="AJ163" s="260"/>
      <c r="AK163" s="260"/>
      <c r="AL163" s="260"/>
      <c r="AM163" s="260"/>
      <c r="AN163" s="260"/>
      <c r="AO163" s="260"/>
    </row>
    <row r="164" spans="16:41" s="259" customFormat="1">
      <c r="P164" s="260"/>
      <c r="Q164" s="260"/>
      <c r="R164" s="260"/>
      <c r="S164" s="260"/>
      <c r="T164" s="260"/>
      <c r="U164" s="260"/>
      <c r="V164" s="260"/>
      <c r="W164" s="260"/>
      <c r="X164" s="260"/>
      <c r="Y164" s="260"/>
      <c r="Z164" s="260"/>
      <c r="AA164" s="260"/>
      <c r="AB164" s="260"/>
      <c r="AC164" s="260"/>
      <c r="AD164" s="260"/>
      <c r="AE164" s="260"/>
      <c r="AF164" s="260"/>
      <c r="AG164" s="260"/>
      <c r="AH164" s="260"/>
      <c r="AI164" s="260"/>
      <c r="AJ164" s="260"/>
      <c r="AK164" s="260"/>
      <c r="AL164" s="260"/>
      <c r="AM164" s="260"/>
      <c r="AN164" s="260"/>
      <c r="AO164" s="260"/>
    </row>
    <row r="165" spans="16:41" s="259" customFormat="1">
      <c r="P165" s="260"/>
      <c r="Q165" s="260"/>
      <c r="R165" s="260"/>
      <c r="S165" s="260"/>
      <c r="T165" s="260"/>
      <c r="U165" s="260"/>
      <c r="V165" s="260"/>
      <c r="W165" s="260"/>
      <c r="X165" s="260"/>
      <c r="Y165" s="260"/>
      <c r="Z165" s="260"/>
      <c r="AA165" s="260"/>
      <c r="AB165" s="260"/>
      <c r="AC165" s="260"/>
      <c r="AD165" s="260"/>
      <c r="AE165" s="260"/>
      <c r="AF165" s="260"/>
      <c r="AG165" s="260"/>
      <c r="AH165" s="260"/>
      <c r="AI165" s="260"/>
      <c r="AJ165" s="260"/>
      <c r="AK165" s="260"/>
      <c r="AL165" s="260"/>
      <c r="AM165" s="260"/>
      <c r="AN165" s="260"/>
      <c r="AO165" s="260"/>
    </row>
    <row r="166" spans="16:41" s="259" customFormat="1">
      <c r="P166" s="260"/>
      <c r="Q166" s="260"/>
      <c r="R166" s="260"/>
      <c r="S166" s="260"/>
      <c r="T166" s="260"/>
      <c r="U166" s="260"/>
      <c r="V166" s="260"/>
      <c r="W166" s="260"/>
      <c r="X166" s="260"/>
      <c r="Y166" s="260"/>
      <c r="Z166" s="260"/>
      <c r="AA166" s="260"/>
      <c r="AB166" s="260"/>
      <c r="AC166" s="260"/>
      <c r="AD166" s="260"/>
      <c r="AE166" s="260"/>
      <c r="AF166" s="260"/>
      <c r="AG166" s="260"/>
      <c r="AH166" s="260"/>
      <c r="AI166" s="260"/>
      <c r="AJ166" s="260"/>
      <c r="AK166" s="260"/>
      <c r="AL166" s="260"/>
      <c r="AM166" s="260"/>
      <c r="AN166" s="260"/>
      <c r="AO166" s="260"/>
    </row>
    <row r="167" spans="16:41" s="259" customFormat="1">
      <c r="P167" s="260"/>
      <c r="Q167" s="260"/>
      <c r="R167" s="260"/>
      <c r="S167" s="260"/>
      <c r="T167" s="260"/>
      <c r="U167" s="260"/>
      <c r="V167" s="260"/>
      <c r="W167" s="260"/>
      <c r="X167" s="260"/>
      <c r="Y167" s="260"/>
      <c r="Z167" s="260"/>
      <c r="AA167" s="260"/>
      <c r="AB167" s="260"/>
      <c r="AC167" s="260"/>
      <c r="AD167" s="260"/>
      <c r="AE167" s="260"/>
      <c r="AF167" s="260"/>
      <c r="AG167" s="260"/>
      <c r="AH167" s="260"/>
      <c r="AI167" s="260"/>
      <c r="AJ167" s="260"/>
      <c r="AK167" s="260"/>
      <c r="AL167" s="260"/>
      <c r="AM167" s="260"/>
      <c r="AN167" s="260"/>
      <c r="AO167" s="260"/>
    </row>
    <row r="168" spans="16:41" s="259" customFormat="1">
      <c r="P168" s="260"/>
      <c r="Q168" s="260"/>
      <c r="R168" s="260"/>
      <c r="S168" s="260"/>
      <c r="T168" s="260"/>
      <c r="U168" s="260"/>
      <c r="V168" s="260"/>
      <c r="W168" s="260"/>
      <c r="X168" s="260"/>
      <c r="Y168" s="260"/>
      <c r="Z168" s="260"/>
      <c r="AA168" s="260"/>
      <c r="AB168" s="260"/>
      <c r="AC168" s="260"/>
      <c r="AD168" s="260"/>
      <c r="AE168" s="260"/>
      <c r="AF168" s="260"/>
      <c r="AG168" s="260"/>
      <c r="AH168" s="260"/>
      <c r="AI168" s="260"/>
      <c r="AJ168" s="260"/>
      <c r="AK168" s="260"/>
      <c r="AL168" s="260"/>
      <c r="AM168" s="260"/>
      <c r="AN168" s="260"/>
      <c r="AO168" s="260"/>
    </row>
    <row r="169" spans="16:41" s="259" customFormat="1"/>
    <row r="170" spans="16:41" s="259" customFormat="1"/>
    <row r="171" spans="16:41" s="259" customFormat="1"/>
    <row r="172" spans="16:41" s="259" customFormat="1"/>
    <row r="173" spans="16:41" s="259" customFormat="1"/>
    <row r="174" spans="16:41" s="259" customFormat="1"/>
    <row r="175" spans="16:41" s="259" customFormat="1"/>
    <row r="176" spans="16:41" s="259" customFormat="1"/>
    <row r="177" s="259" customFormat="1"/>
    <row r="178" s="259" customFormat="1"/>
    <row r="179" s="259" customFormat="1"/>
    <row r="180" s="259" customFormat="1"/>
    <row r="181" s="259" customFormat="1"/>
    <row r="182" s="259" customFormat="1"/>
    <row r="183" s="259" customFormat="1"/>
    <row r="184" s="259" customFormat="1"/>
    <row r="185" s="259" customFormat="1"/>
    <row r="186" s="259" customFormat="1"/>
    <row r="187" s="259" customFormat="1"/>
    <row r="188" s="259" customFormat="1"/>
    <row r="189" s="259" customFormat="1"/>
    <row r="190" s="259" customFormat="1"/>
    <row r="191" s="259" customFormat="1"/>
    <row r="192" s="259" customFormat="1"/>
    <row r="193" s="259" customFormat="1"/>
    <row r="194" s="259" customFormat="1"/>
    <row r="195" s="259" customFormat="1"/>
    <row r="196" s="259" customFormat="1"/>
    <row r="197" s="259" customFormat="1"/>
    <row r="198" s="259" customFormat="1"/>
    <row r="199" s="259" customFormat="1"/>
    <row r="200" s="259" customFormat="1"/>
    <row r="201" s="259" customFormat="1"/>
    <row r="202" s="259" customFormat="1"/>
    <row r="203" s="259" customFormat="1"/>
    <row r="204" s="259" customFormat="1"/>
    <row r="205" s="259" customFormat="1"/>
    <row r="206" s="259" customFormat="1"/>
    <row r="207" s="259" customFormat="1"/>
    <row r="208" s="259" customFormat="1"/>
    <row r="209" s="259" customFormat="1"/>
    <row r="210" s="259" customFormat="1"/>
    <row r="211" s="259" customFormat="1"/>
    <row r="212" s="259" customFormat="1"/>
    <row r="213" s="259" customFormat="1"/>
    <row r="214" s="259" customFormat="1"/>
    <row r="215" s="259" customFormat="1"/>
    <row r="216" s="259" customFormat="1"/>
    <row r="217" s="259" customFormat="1"/>
    <row r="218" s="259" customFormat="1"/>
    <row r="219" s="259" customFormat="1"/>
    <row r="220" s="259" customFormat="1"/>
    <row r="221" s="259" customFormat="1"/>
    <row r="222" s="259" customFormat="1"/>
    <row r="223" s="259" customFormat="1"/>
    <row r="224" s="259" customFormat="1"/>
    <row r="225" s="259" customFormat="1"/>
    <row r="226" s="259" customFormat="1"/>
    <row r="227" s="259" customFormat="1"/>
    <row r="228" s="259" customFormat="1"/>
    <row r="229" s="259" customFormat="1"/>
    <row r="230" s="259" customFormat="1"/>
    <row r="231" s="259" customFormat="1"/>
    <row r="232" s="259" customFormat="1"/>
    <row r="233" s="259" customFormat="1"/>
    <row r="234" s="259" customFormat="1"/>
    <row r="235" s="259" customFormat="1"/>
    <row r="236" s="259" customFormat="1"/>
    <row r="237" s="259" customFormat="1"/>
    <row r="238" s="259" customFormat="1"/>
    <row r="239" s="259" customFormat="1"/>
    <row r="240" s="259" customFormat="1"/>
    <row r="241" s="259" customFormat="1"/>
    <row r="242" s="259" customFormat="1"/>
    <row r="243" s="259" customFormat="1"/>
    <row r="244" s="259" customFormat="1"/>
    <row r="245" s="259" customFormat="1"/>
    <row r="246" s="259" customFormat="1"/>
    <row r="247" s="259" customFormat="1"/>
    <row r="248" s="259" customFormat="1"/>
    <row r="249" s="259" customFormat="1"/>
    <row r="250" s="259" customFormat="1"/>
    <row r="251" s="259" customFormat="1"/>
    <row r="252" s="259" customFormat="1"/>
    <row r="253" s="259" customFormat="1"/>
    <row r="254" s="259" customFormat="1"/>
    <row r="255" s="259" customFormat="1"/>
    <row r="256" s="259" customFormat="1"/>
    <row r="257" s="259" customFormat="1"/>
    <row r="258" s="259" customFormat="1"/>
    <row r="259" s="259" customFormat="1"/>
    <row r="260" s="259" customFormat="1"/>
    <row r="261" s="259" customFormat="1"/>
    <row r="262" s="259" customFormat="1"/>
    <row r="263" s="259" customFormat="1"/>
    <row r="264" s="259" customFormat="1"/>
    <row r="265" s="259" customFormat="1"/>
    <row r="266" s="259" customFormat="1"/>
    <row r="267" s="259" customFormat="1"/>
    <row r="268" s="259" customFormat="1"/>
    <row r="269" s="259" customFormat="1"/>
    <row r="270" s="259" customFormat="1"/>
    <row r="271" s="259" customFormat="1"/>
    <row r="272" s="259" customFormat="1"/>
    <row r="273" s="259" customFormat="1"/>
    <row r="274" s="259" customFormat="1"/>
    <row r="275" s="259" customFormat="1"/>
    <row r="276" s="259" customFormat="1"/>
    <row r="277" s="259" customFormat="1"/>
    <row r="278" s="259" customFormat="1"/>
    <row r="279" s="259" customFormat="1"/>
    <row r="280" s="259" customFormat="1"/>
    <row r="281" s="259" customFormat="1"/>
    <row r="282" s="259" customFormat="1"/>
    <row r="283" s="259" customFormat="1"/>
    <row r="284" s="259" customFormat="1"/>
    <row r="285" s="259" customFormat="1"/>
    <row r="286" s="259" customFormat="1"/>
    <row r="287" s="259" customFormat="1"/>
    <row r="288" s="259" customFormat="1"/>
    <row r="289" s="259" customFormat="1"/>
    <row r="290" s="259" customFormat="1"/>
    <row r="291" s="259" customFormat="1"/>
    <row r="292" s="259" customFormat="1"/>
    <row r="293" s="259" customFormat="1"/>
    <row r="294" s="259" customFormat="1"/>
    <row r="295" s="259" customFormat="1"/>
    <row r="296" s="259" customFormat="1"/>
    <row r="297" s="259" customFormat="1"/>
    <row r="298" s="259" customFormat="1"/>
    <row r="299" s="259" customFormat="1"/>
    <row r="300" s="259" customFormat="1"/>
    <row r="301" s="259" customFormat="1"/>
    <row r="302" s="259" customFormat="1"/>
    <row r="303" s="259" customFormat="1"/>
    <row r="304" s="259" customFormat="1"/>
    <row r="305" s="259" customFormat="1"/>
    <row r="306" s="259" customFormat="1"/>
    <row r="307" s="259" customFormat="1"/>
    <row r="308" s="259" customFormat="1"/>
    <row r="309" s="259" customFormat="1"/>
    <row r="310" s="259" customFormat="1"/>
    <row r="311" s="259" customFormat="1"/>
    <row r="312" s="259" customFormat="1"/>
    <row r="313" s="259" customFormat="1"/>
    <row r="314" s="259" customFormat="1"/>
    <row r="315" s="259" customFormat="1"/>
    <row r="316" s="259" customFormat="1"/>
    <row r="317" s="259" customFormat="1"/>
    <row r="318" s="259" customFormat="1"/>
    <row r="319" s="259" customFormat="1"/>
    <row r="320" s="259" customFormat="1"/>
    <row r="321" s="259" customFormat="1"/>
    <row r="322" s="259" customFormat="1"/>
    <row r="323" s="259" customFormat="1"/>
    <row r="324" s="259" customFormat="1"/>
    <row r="325" s="259" customFormat="1"/>
    <row r="326" s="259" customFormat="1"/>
    <row r="327" s="259" customFormat="1"/>
    <row r="328" s="259" customFormat="1"/>
    <row r="329" s="259" customFormat="1"/>
    <row r="330" s="259" customFormat="1"/>
    <row r="331" s="259" customFormat="1"/>
    <row r="332" s="259" customFormat="1"/>
    <row r="333" s="259" customFormat="1"/>
    <row r="334" s="259" customFormat="1"/>
    <row r="335" s="259" customFormat="1"/>
    <row r="336" s="259" customFormat="1"/>
    <row r="337" s="259" customFormat="1"/>
    <row r="338" s="259" customFormat="1"/>
    <row r="339" s="259" customFormat="1"/>
    <row r="340" s="259" customFormat="1"/>
    <row r="341" s="259" customFormat="1"/>
    <row r="342" s="259" customFormat="1"/>
    <row r="343" s="259" customFormat="1"/>
    <row r="344" s="259" customFormat="1"/>
    <row r="345" s="259" customFormat="1"/>
    <row r="346" s="259" customFormat="1"/>
    <row r="347" s="259" customFormat="1"/>
    <row r="348" s="259" customFormat="1"/>
    <row r="349" s="259" customFormat="1"/>
    <row r="350" s="259" customFormat="1"/>
    <row r="351" s="259" customFormat="1"/>
    <row r="352" s="259" customFormat="1"/>
    <row r="353" s="259" customFormat="1"/>
    <row r="354" s="259" customFormat="1"/>
    <row r="355" s="259" customFormat="1"/>
    <row r="356" s="259" customFormat="1"/>
    <row r="357" s="259" customFormat="1"/>
    <row r="358" s="259" customFormat="1"/>
    <row r="359" s="259" customFormat="1"/>
    <row r="360" s="259" customFormat="1"/>
    <row r="361" s="259" customFormat="1"/>
    <row r="362" s="259" customFormat="1"/>
    <row r="363" s="259" customFormat="1"/>
    <row r="364" s="259" customFormat="1"/>
    <row r="365" s="259" customFormat="1"/>
    <row r="366" s="259" customFormat="1"/>
    <row r="367" s="259" customFormat="1"/>
    <row r="368" s="259" customFormat="1"/>
    <row r="369" s="259" customFormat="1"/>
    <row r="370" s="259" customFormat="1"/>
    <row r="371" s="259" customFormat="1"/>
    <row r="372" s="259" customFormat="1"/>
    <row r="373" s="259" customFormat="1"/>
    <row r="374" s="259" customFormat="1"/>
    <row r="375" s="259" customFormat="1"/>
    <row r="376" s="259" customFormat="1"/>
    <row r="377" s="259" customFormat="1"/>
    <row r="378" s="259" customFormat="1"/>
    <row r="379" s="259" customFormat="1"/>
    <row r="380" s="259" customFormat="1"/>
    <row r="381" s="259" customFormat="1"/>
    <row r="382" s="259" customFormat="1"/>
    <row r="383" s="259" customFormat="1"/>
    <row r="384" s="259" customFormat="1"/>
    <row r="385" s="259" customFormat="1"/>
    <row r="386" s="259" customFormat="1"/>
    <row r="387" s="259" customFormat="1"/>
    <row r="388" s="259" customFormat="1"/>
    <row r="389" s="259" customFormat="1"/>
    <row r="390" s="259" customFormat="1"/>
    <row r="391" s="259" customFormat="1"/>
    <row r="392" s="259" customFormat="1"/>
    <row r="393" s="259" customFormat="1"/>
    <row r="394" s="259" customFormat="1"/>
    <row r="395" s="259" customFormat="1"/>
    <row r="396" s="259" customFormat="1"/>
    <row r="397" s="259" customFormat="1"/>
    <row r="398" s="259" customFormat="1"/>
    <row r="399" s="259" customFormat="1"/>
    <row r="400" s="259" customFormat="1"/>
    <row r="401" s="259" customFormat="1"/>
    <row r="402" s="259" customFormat="1"/>
    <row r="403" s="259" customFormat="1"/>
    <row r="404" s="259" customFormat="1"/>
    <row r="405" s="259" customFormat="1"/>
    <row r="406" s="259" customFormat="1"/>
    <row r="407" s="259" customFormat="1"/>
    <row r="408" s="259" customFormat="1"/>
    <row r="409" s="259" customFormat="1"/>
    <row r="410" s="259" customFormat="1"/>
    <row r="411" s="259" customFormat="1"/>
    <row r="412" s="259" customFormat="1"/>
    <row r="413" s="259" customFormat="1"/>
    <row r="414" s="259" customFormat="1"/>
    <row r="415" s="259" customFormat="1"/>
    <row r="416" s="259" customFormat="1"/>
    <row r="417" s="259" customFormat="1"/>
    <row r="418" s="259" customFormat="1"/>
    <row r="419" s="259" customFormat="1"/>
    <row r="420" s="259" customFormat="1"/>
    <row r="421" s="259" customFormat="1"/>
    <row r="422" s="259" customFormat="1"/>
    <row r="423" s="259" customFormat="1"/>
    <row r="424" s="259" customFormat="1"/>
    <row r="425" s="259" customFormat="1"/>
    <row r="426" s="259" customFormat="1"/>
    <row r="427" s="259" customFormat="1"/>
    <row r="428" s="259" customFormat="1"/>
    <row r="429" s="259" customFormat="1"/>
    <row r="430" s="259" customFormat="1"/>
    <row r="431" s="259" customFormat="1"/>
    <row r="432" s="259" customFormat="1"/>
    <row r="433" s="259" customFormat="1"/>
    <row r="434" s="259" customFormat="1"/>
    <row r="435" s="259" customFormat="1"/>
    <row r="436" s="259" customFormat="1"/>
    <row r="437" s="259" customFormat="1"/>
    <row r="438" s="259" customFormat="1"/>
    <row r="439" s="259" customFormat="1"/>
    <row r="440" s="259" customFormat="1"/>
    <row r="441" s="259" customFormat="1"/>
    <row r="442" s="259" customFormat="1"/>
    <row r="443" s="259" customFormat="1"/>
    <row r="444" s="259" customFormat="1"/>
    <row r="445" s="259" customFormat="1"/>
    <row r="446" s="259" customFormat="1"/>
    <row r="447" s="259" customFormat="1"/>
    <row r="448" s="259" customFormat="1"/>
    <row r="449" s="259" customFormat="1"/>
    <row r="450" s="259" customFormat="1"/>
    <row r="451" s="259" customFormat="1"/>
    <row r="452" s="259" customFormat="1"/>
    <row r="453" s="259" customFormat="1"/>
    <row r="454" s="259" customFormat="1"/>
    <row r="455" s="259" customFormat="1"/>
    <row r="456" s="259" customFormat="1"/>
    <row r="457" s="259" customFormat="1"/>
    <row r="458" s="259" customFormat="1"/>
    <row r="459" s="259" customFormat="1"/>
    <row r="460" s="259" customFormat="1"/>
    <row r="461" s="259" customFormat="1"/>
    <row r="462" s="259" customFormat="1"/>
    <row r="463" s="259" customFormat="1"/>
    <row r="464" s="259" customFormat="1"/>
    <row r="465" s="259" customFormat="1"/>
    <row r="466" s="259" customFormat="1"/>
    <row r="467" s="259" customFormat="1"/>
    <row r="468" s="259" customFormat="1"/>
    <row r="469" s="259" customFormat="1"/>
    <row r="470" s="259" customFormat="1"/>
    <row r="471" s="259" customFormat="1"/>
    <row r="472" s="259" customFormat="1"/>
    <row r="473" s="259" customFormat="1"/>
    <row r="474" s="259" customFormat="1"/>
    <row r="475" s="259" customFormat="1"/>
    <row r="476" s="259" customFormat="1"/>
    <row r="477" s="259" customFormat="1"/>
    <row r="478" s="259" customFormat="1"/>
    <row r="479" s="259" customFormat="1"/>
    <row r="480" s="259" customFormat="1"/>
    <row r="481" s="259" customFormat="1"/>
    <row r="482" s="259" customFormat="1"/>
    <row r="483" s="259" customFormat="1"/>
    <row r="484" s="259" customFormat="1"/>
    <row r="485" s="259" customFormat="1"/>
    <row r="486" s="259" customFormat="1"/>
    <row r="487" s="259" customFormat="1"/>
    <row r="488" s="259" customFormat="1"/>
    <row r="489" s="259" customFormat="1"/>
    <row r="490" s="259" customFormat="1"/>
    <row r="491" s="259" customFormat="1"/>
    <row r="492" s="259" customFormat="1"/>
    <row r="493" s="259" customFormat="1"/>
    <row r="494" s="259" customFormat="1"/>
    <row r="495" s="259" customFormat="1"/>
    <row r="496" s="259" customFormat="1"/>
    <row r="497" s="259" customFormat="1"/>
    <row r="498" s="259" customFormat="1"/>
    <row r="499" s="259" customFormat="1"/>
    <row r="500" s="259" customFormat="1"/>
    <row r="501" s="259" customFormat="1"/>
    <row r="502" s="259" customFormat="1"/>
    <row r="503" s="259" customFormat="1"/>
    <row r="504" s="259" customFormat="1"/>
    <row r="505" s="259" customFormat="1"/>
    <row r="506" s="259" customFormat="1"/>
    <row r="507" s="259" customFormat="1"/>
    <row r="508" s="259" customFormat="1"/>
    <row r="509" s="259" customFormat="1"/>
    <row r="510" s="259" customFormat="1"/>
    <row r="511" s="259" customFormat="1"/>
    <row r="512" s="259" customFormat="1"/>
    <row r="513" s="259" customFormat="1"/>
    <row r="514" s="259" customFormat="1"/>
    <row r="515" s="259" customFormat="1"/>
    <row r="516" s="259" customFormat="1"/>
    <row r="517" s="259" customFormat="1"/>
    <row r="518" s="259" customFormat="1"/>
    <row r="519" s="259" customFormat="1"/>
    <row r="520" s="259" customFormat="1"/>
    <row r="521" s="259" customFormat="1"/>
    <row r="522" s="259" customFormat="1"/>
    <row r="523" s="259" customFormat="1"/>
    <row r="524" s="259" customFormat="1"/>
    <row r="525" s="259" customFormat="1"/>
    <row r="526" s="259" customFormat="1"/>
    <row r="527" s="259" customFormat="1"/>
    <row r="528" s="259" customFormat="1"/>
    <row r="529" s="259" customFormat="1"/>
    <row r="530" s="259" customFormat="1"/>
    <row r="531" s="259" customFormat="1"/>
    <row r="532" s="259" customFormat="1"/>
    <row r="533" s="259" customFormat="1"/>
    <row r="534" s="259" customFormat="1"/>
    <row r="535" s="259" customFormat="1"/>
    <row r="536" s="259" customFormat="1"/>
    <row r="537" s="259" customFormat="1"/>
    <row r="538" s="259" customFormat="1"/>
    <row r="539" s="259" customFormat="1"/>
    <row r="540" s="259" customFormat="1"/>
    <row r="541" s="259" customFormat="1"/>
    <row r="542" s="259" customFormat="1"/>
    <row r="543" s="259" customFormat="1"/>
    <row r="544" s="259" customFormat="1"/>
    <row r="545" s="259" customFormat="1"/>
    <row r="546" s="259" customFormat="1"/>
    <row r="547" s="259" customFormat="1"/>
    <row r="548" s="259" customFormat="1"/>
    <row r="549" s="259" customFormat="1"/>
    <row r="550" s="259" customFormat="1"/>
    <row r="551" s="259" customFormat="1"/>
    <row r="552" s="259" customFormat="1"/>
    <row r="553" s="259" customFormat="1"/>
    <row r="554" s="259" customFormat="1"/>
    <row r="555" s="259" customFormat="1"/>
    <row r="556" s="259" customFormat="1"/>
    <row r="557" s="259" customFormat="1"/>
    <row r="558" s="259" customFormat="1"/>
    <row r="559" s="259" customFormat="1"/>
    <row r="560" s="259" customFormat="1"/>
    <row r="561" s="259" customFormat="1"/>
    <row r="562" s="259" customFormat="1"/>
    <row r="563" s="259" customFormat="1"/>
    <row r="564" s="259" customFormat="1"/>
    <row r="565" s="259" customFormat="1"/>
    <row r="566" s="259" customFormat="1"/>
    <row r="567" s="259" customFormat="1"/>
    <row r="568" s="259" customFormat="1"/>
    <row r="569" s="259" customFormat="1"/>
    <row r="570" s="259" customFormat="1"/>
    <row r="571" s="259" customFormat="1"/>
    <row r="572" s="259" customFormat="1"/>
    <row r="573" s="259" customFormat="1"/>
    <row r="574" s="259" customFormat="1"/>
    <row r="575" s="259" customFormat="1"/>
    <row r="576" s="259" customFormat="1"/>
    <row r="577" s="259" customFormat="1"/>
    <row r="578" s="259" customFormat="1"/>
    <row r="579" s="259" customFormat="1"/>
    <row r="580" s="259" customFormat="1"/>
    <row r="581" s="259" customFormat="1"/>
    <row r="582" s="259" customFormat="1"/>
    <row r="583" s="259" customFormat="1"/>
    <row r="584" s="259" customFormat="1"/>
    <row r="585" s="259" customFormat="1"/>
    <row r="586" s="259" customFormat="1"/>
    <row r="587" s="259" customFormat="1"/>
    <row r="588" s="259" customFormat="1"/>
    <row r="589" s="259" customFormat="1"/>
    <row r="590" s="259" customFormat="1"/>
    <row r="591" s="259" customFormat="1"/>
    <row r="592" s="259" customFormat="1"/>
    <row r="593" s="259" customFormat="1"/>
    <row r="594" s="259" customFormat="1"/>
    <row r="595" s="259" customFormat="1"/>
    <row r="596" s="259" customFormat="1"/>
    <row r="597" s="259" customFormat="1"/>
    <row r="598" s="259" customFormat="1"/>
    <row r="599" s="259" customFormat="1"/>
    <row r="600" s="259" customFormat="1"/>
    <row r="601" s="259" customFormat="1"/>
    <row r="602" s="259" customFormat="1"/>
    <row r="603" s="259" customFormat="1"/>
    <row r="604" s="259" customFormat="1"/>
    <row r="605" s="259" customFormat="1"/>
    <row r="606" s="259" customFormat="1"/>
    <row r="607" s="259" customFormat="1"/>
    <row r="608" s="259" customFormat="1"/>
    <row r="609" s="259" customFormat="1"/>
    <row r="610" s="259" customFormat="1"/>
    <row r="611" s="259" customFormat="1"/>
    <row r="612" s="259" customFormat="1"/>
    <row r="613" s="259" customFormat="1"/>
    <row r="614" s="259" customFormat="1"/>
    <row r="615" s="259" customFormat="1"/>
    <row r="616" s="259" customFormat="1"/>
    <row r="617" s="259" customFormat="1"/>
    <row r="618" s="259" customFormat="1"/>
    <row r="619" s="259" customFormat="1"/>
    <row r="620" s="259" customFormat="1"/>
    <row r="621" s="259" customFormat="1"/>
    <row r="622" s="259" customFormat="1"/>
    <row r="623" s="259" customFormat="1"/>
    <row r="624" s="259" customFormat="1"/>
    <row r="625" s="259" customFormat="1"/>
    <row r="626" s="259" customFormat="1"/>
    <row r="627" s="259" customFormat="1"/>
    <row r="628" s="259" customFormat="1"/>
    <row r="629" s="259" customFormat="1"/>
    <row r="630" s="259" customFormat="1"/>
    <row r="631" s="259" customFormat="1"/>
    <row r="632" s="259" customFormat="1"/>
    <row r="633" s="259" customFormat="1"/>
    <row r="634" s="259" customFormat="1"/>
    <row r="635" s="259" customFormat="1"/>
    <row r="636" s="259" customFormat="1"/>
    <row r="637" s="259" customFormat="1"/>
    <row r="638" s="259" customFormat="1"/>
    <row r="639" s="259" customFormat="1"/>
    <row r="640" s="259" customFormat="1"/>
    <row r="641" s="259" customFormat="1"/>
    <row r="642" s="259" customFormat="1"/>
    <row r="643" s="259" customFormat="1"/>
    <row r="644" s="259" customFormat="1"/>
    <row r="645" s="259" customFormat="1"/>
    <row r="646" s="259" customFormat="1"/>
    <row r="647" s="259" customFormat="1"/>
    <row r="648" s="259" customFormat="1"/>
    <row r="649" s="259" customFormat="1"/>
    <row r="650" s="259" customFormat="1"/>
    <row r="651" s="259" customFormat="1"/>
    <row r="652" s="259" customFormat="1"/>
    <row r="653" s="259" customFormat="1"/>
    <row r="654" s="259" customFormat="1"/>
    <row r="655" s="259" customFormat="1"/>
    <row r="656" s="259" customFormat="1"/>
    <row r="657" s="259" customFormat="1"/>
    <row r="658" s="259" customFormat="1"/>
    <row r="659" s="259" customFormat="1"/>
    <row r="660" s="259" customFormat="1"/>
    <row r="661" s="259" customFormat="1"/>
    <row r="662" s="259" customFormat="1"/>
    <row r="663" s="259" customFormat="1"/>
    <row r="664" s="259" customFormat="1"/>
    <row r="665" s="259" customFormat="1"/>
    <row r="666" s="259" customFormat="1"/>
    <row r="667" s="259" customFormat="1"/>
    <row r="668" s="259" customFormat="1"/>
    <row r="669" s="259" customFormat="1"/>
    <row r="670" s="259" customFormat="1"/>
    <row r="671" s="259" customFormat="1"/>
    <row r="672" s="259" customFormat="1"/>
    <row r="673" s="259" customFormat="1"/>
    <row r="674" s="259" customFormat="1"/>
    <row r="675" s="259" customFormat="1"/>
    <row r="676" s="259" customFormat="1"/>
    <row r="677" s="259" customFormat="1"/>
    <row r="678" s="259" customFormat="1"/>
    <row r="679" s="259" customFormat="1"/>
    <row r="680" s="259" customFormat="1"/>
    <row r="681" s="259" customFormat="1"/>
    <row r="682" s="259" customFormat="1"/>
    <row r="683" s="259" customFormat="1"/>
    <row r="684" s="259" customFormat="1"/>
    <row r="685" s="259" customFormat="1"/>
    <row r="686" s="259" customFormat="1"/>
    <row r="687" s="259" customFormat="1"/>
    <row r="688" s="259" customFormat="1"/>
    <row r="689" s="259" customFormat="1"/>
    <row r="690" s="259" customFormat="1"/>
    <row r="691" s="259" customFormat="1"/>
    <row r="692" s="259" customFormat="1"/>
    <row r="693" s="259" customFormat="1"/>
    <row r="694" s="259" customFormat="1"/>
    <row r="695" s="259" customFormat="1"/>
    <row r="696" s="259" customFormat="1"/>
    <row r="697" s="259" customFormat="1"/>
    <row r="698" s="259" customFormat="1"/>
    <row r="699" s="259" customFormat="1"/>
    <row r="700" s="259" customFormat="1"/>
    <row r="701" s="259" customFormat="1"/>
    <row r="702" s="259" customFormat="1"/>
    <row r="703" s="259" customFormat="1"/>
    <row r="704" s="259" customFormat="1"/>
    <row r="705" s="259" customFormat="1"/>
    <row r="706" s="259" customFormat="1"/>
    <row r="707" s="259" customFormat="1"/>
    <row r="708" s="259" customFormat="1"/>
    <row r="709" s="259" customFormat="1"/>
    <row r="710" s="259" customFormat="1"/>
    <row r="711" s="259" customFormat="1"/>
    <row r="712" s="259" customFormat="1"/>
    <row r="713" s="259" customFormat="1"/>
    <row r="714" s="259" customFormat="1"/>
    <row r="715" s="259" customFormat="1"/>
    <row r="716" s="259" customFormat="1"/>
    <row r="717" s="259" customFormat="1"/>
    <row r="718" s="259" customFormat="1"/>
    <row r="719" s="259" customFormat="1"/>
    <row r="720" s="259" customFormat="1"/>
    <row r="721" s="259" customFormat="1"/>
    <row r="722" s="259" customFormat="1"/>
    <row r="723" s="259" customFormat="1"/>
    <row r="724" s="259" customFormat="1"/>
    <row r="725" s="259" customFormat="1"/>
    <row r="726" s="259" customFormat="1"/>
    <row r="727" s="259" customFormat="1"/>
    <row r="728" s="259" customFormat="1"/>
    <row r="729" s="259" customFormat="1"/>
    <row r="730" s="259" customFormat="1"/>
    <row r="731" s="259" customFormat="1"/>
    <row r="732" s="259" customFormat="1"/>
    <row r="733" s="259" customFormat="1"/>
    <row r="734" s="259" customFormat="1"/>
    <row r="735" s="259" customFormat="1"/>
    <row r="736" s="259" customFormat="1"/>
    <row r="737" s="259" customFormat="1"/>
    <row r="738" s="259" customFormat="1"/>
    <row r="739" s="259" customFormat="1"/>
    <row r="740" s="259" customFormat="1"/>
    <row r="741" s="259" customFormat="1"/>
    <row r="742" s="259" customFormat="1"/>
    <row r="743" s="259" customFormat="1"/>
    <row r="744" s="259" customFormat="1"/>
    <row r="745" s="259" customFormat="1"/>
    <row r="746" s="259" customFormat="1"/>
    <row r="747" s="259" customFormat="1"/>
    <row r="748" s="259" customFormat="1"/>
    <row r="749" s="259" customFormat="1"/>
    <row r="750" s="259" customFormat="1"/>
    <row r="751" s="259" customFormat="1"/>
    <row r="752" s="259" customFormat="1"/>
    <row r="753" s="259" customFormat="1"/>
    <row r="754" s="259" customFormat="1"/>
    <row r="755" s="259" customFormat="1"/>
    <row r="756" s="259" customFormat="1"/>
    <row r="757" s="259" customFormat="1"/>
    <row r="758" s="259" customFormat="1"/>
    <row r="759" s="259" customFormat="1"/>
    <row r="760" s="259" customFormat="1"/>
    <row r="761" s="259" customFormat="1"/>
    <row r="762" s="259" customFormat="1"/>
    <row r="763" s="259" customFormat="1"/>
    <row r="764" s="259" customFormat="1"/>
    <row r="765" s="259" customFormat="1"/>
    <row r="766" s="259" customFormat="1"/>
    <row r="767" s="259" customFormat="1"/>
    <row r="768" s="259" customFormat="1"/>
    <row r="769" s="259" customFormat="1"/>
    <row r="770" s="259" customFormat="1"/>
    <row r="771" s="259" customFormat="1"/>
    <row r="772" s="259" customFormat="1"/>
    <row r="773" s="259" customFormat="1"/>
    <row r="774" s="259" customFormat="1"/>
    <row r="775" s="259" customFormat="1"/>
    <row r="776" s="259" customFormat="1"/>
    <row r="777" s="259" customFormat="1"/>
    <row r="778" s="259" customFormat="1"/>
    <row r="779" s="259" customFormat="1"/>
    <row r="780" s="259" customFormat="1"/>
    <row r="781" s="259" customFormat="1"/>
    <row r="782" s="259" customFormat="1"/>
    <row r="783" s="259" customFormat="1"/>
    <row r="784" s="259" customFormat="1"/>
    <row r="785" s="259" customFormat="1"/>
    <row r="786" s="259" customFormat="1"/>
    <row r="787" s="259" customFormat="1"/>
    <row r="788" s="259" customFormat="1"/>
    <row r="789" s="259" customFormat="1"/>
    <row r="790" s="259" customFormat="1"/>
    <row r="791" s="259" customFormat="1"/>
    <row r="792" s="259" customFormat="1"/>
    <row r="793" s="259" customFormat="1"/>
    <row r="794" s="259" customFormat="1"/>
    <row r="795" s="259" customFormat="1"/>
    <row r="796" s="259" customFormat="1"/>
    <row r="797" s="259" customFormat="1"/>
    <row r="798" s="259" customFormat="1"/>
    <row r="799" s="259" customFormat="1"/>
    <row r="800" s="259" customFormat="1"/>
    <row r="801" s="259" customFormat="1"/>
    <row r="802" s="259" customFormat="1"/>
    <row r="803" s="259" customFormat="1"/>
    <row r="804" s="259" customFormat="1"/>
    <row r="805" s="259" customFormat="1"/>
    <row r="806" s="259" customFormat="1"/>
    <row r="807" s="259" customFormat="1"/>
    <row r="808" s="259" customFormat="1"/>
    <row r="809" s="259" customFormat="1"/>
    <row r="810" s="259" customFormat="1"/>
    <row r="811" s="259" customFormat="1"/>
    <row r="812" s="259" customFormat="1"/>
    <row r="813" s="259" customFormat="1"/>
    <row r="814" s="259" customFormat="1"/>
    <row r="815" s="259" customFormat="1"/>
    <row r="816" s="259" customFormat="1"/>
    <row r="817" s="259" customFormat="1"/>
    <row r="818" s="259" customFormat="1"/>
    <row r="819" s="259" customFormat="1"/>
    <row r="820" s="259" customFormat="1"/>
    <row r="821" s="259" customFormat="1"/>
    <row r="822" s="259" customFormat="1"/>
    <row r="823" s="259" customFormat="1"/>
    <row r="824" s="259" customFormat="1"/>
    <row r="825" s="259" customFormat="1"/>
    <row r="826" s="259" customFormat="1"/>
    <row r="827" s="259" customFormat="1"/>
    <row r="828" s="259" customFormat="1"/>
    <row r="829" s="259" customFormat="1"/>
    <row r="830" s="259" customFormat="1"/>
    <row r="831" s="259" customFormat="1"/>
    <row r="832" s="259" customFormat="1"/>
    <row r="833" s="259" customFormat="1"/>
    <row r="834" s="259" customFormat="1"/>
    <row r="835" s="259" customFormat="1"/>
    <row r="836" s="259" customFormat="1"/>
    <row r="837" s="259" customFormat="1"/>
    <row r="838" s="259" customFormat="1"/>
    <row r="839" s="259" customFormat="1"/>
    <row r="840" s="259" customFormat="1"/>
    <row r="841" s="259" customFormat="1"/>
    <row r="842" s="259" customFormat="1"/>
    <row r="843" s="259" customFormat="1"/>
    <row r="844" s="259" customFormat="1"/>
    <row r="845" s="259" customFormat="1"/>
    <row r="846" s="259" customFormat="1"/>
    <row r="847" s="259" customFormat="1"/>
    <row r="848" s="259" customFormat="1"/>
    <row r="849" s="259" customFormat="1"/>
    <row r="850" s="259" customFormat="1"/>
    <row r="851" s="259" customFormat="1"/>
    <row r="852" s="259" customFormat="1"/>
    <row r="853" s="259" customFormat="1"/>
    <row r="854" s="259" customFormat="1"/>
    <row r="855" s="259" customFormat="1"/>
    <row r="856" s="259" customFormat="1"/>
    <row r="857" s="259" customFormat="1"/>
    <row r="858" s="259" customFormat="1"/>
    <row r="859" s="259" customFormat="1"/>
    <row r="860" s="259" customFormat="1"/>
    <row r="861" s="259" customFormat="1"/>
    <row r="862" s="259" customFormat="1"/>
    <row r="863" s="259" customFormat="1"/>
    <row r="864" s="259" customFormat="1"/>
    <row r="865" s="259" customFormat="1"/>
    <row r="866" s="259" customFormat="1"/>
    <row r="867" s="259" customFormat="1"/>
    <row r="868" s="259" customFormat="1"/>
    <row r="869" s="259" customFormat="1"/>
    <row r="870" s="259" customFormat="1"/>
    <row r="871" s="259" customFormat="1"/>
    <row r="872" s="259" customFormat="1"/>
    <row r="873" s="259" customFormat="1"/>
    <row r="874" s="259" customFormat="1"/>
    <row r="875" s="259" customFormat="1"/>
    <row r="876" s="259" customFormat="1"/>
    <row r="877" s="259" customFormat="1"/>
    <row r="878" s="259" customFormat="1"/>
    <row r="879" s="259" customFormat="1"/>
    <row r="880" s="259" customFormat="1"/>
    <row r="881" s="259" customFormat="1"/>
    <row r="882" s="259" customFormat="1"/>
    <row r="883" s="259" customFormat="1"/>
    <row r="884" s="259" customFormat="1"/>
    <row r="885" s="259" customFormat="1"/>
    <row r="886" s="259" customFormat="1"/>
    <row r="887" s="259" customFormat="1"/>
    <row r="888" s="259" customFormat="1"/>
    <row r="889" s="259" customFormat="1"/>
    <row r="890" s="259" customFormat="1"/>
    <row r="891" s="259" customFormat="1"/>
    <row r="892" s="259" customFormat="1"/>
    <row r="893" s="259" customFormat="1"/>
    <row r="894" s="259" customFormat="1"/>
    <row r="895" s="259" customFormat="1"/>
    <row r="896" s="259" customFormat="1"/>
    <row r="897" s="259" customFormat="1"/>
    <row r="898" s="259" customFormat="1"/>
    <row r="899" s="259" customFormat="1"/>
    <row r="900" s="259" customFormat="1"/>
    <row r="901" s="259" customFormat="1"/>
    <row r="902" s="259" customFormat="1"/>
    <row r="903" s="259" customFormat="1"/>
    <row r="904" s="259" customFormat="1"/>
    <row r="905" s="259" customFormat="1"/>
    <row r="906" s="259" customFormat="1"/>
    <row r="907" s="259" customFormat="1"/>
    <row r="908" s="259" customFormat="1"/>
    <row r="909" s="259" customFormat="1"/>
    <row r="910" s="259" customFormat="1"/>
    <row r="911" s="259" customFormat="1"/>
    <row r="912" s="259" customFormat="1"/>
    <row r="913" s="259" customFormat="1"/>
    <row r="914" s="259" customFormat="1"/>
    <row r="915" s="259" customFormat="1"/>
    <row r="916" s="259" customFormat="1"/>
    <row r="917" s="259" customFormat="1"/>
    <row r="918" s="259" customFormat="1"/>
    <row r="919" s="259" customFormat="1"/>
    <row r="920" s="259" customFormat="1"/>
    <row r="921" s="259" customFormat="1"/>
    <row r="922" s="259" customFormat="1"/>
    <row r="923" s="259" customFormat="1"/>
    <row r="924" s="259" customFormat="1"/>
    <row r="925" s="259" customFormat="1"/>
    <row r="926" s="259" customFormat="1"/>
    <row r="927" s="259" customFormat="1"/>
    <row r="928" s="259" customFormat="1"/>
    <row r="929" s="259" customFormat="1"/>
    <row r="930" s="259" customFormat="1"/>
    <row r="931" s="259" customFormat="1"/>
    <row r="932" s="259" customFormat="1"/>
    <row r="933" s="259" customFormat="1"/>
    <row r="934" s="259" customFormat="1"/>
    <row r="935" s="259" customFormat="1"/>
    <row r="936" s="259" customFormat="1"/>
    <row r="937" s="259" customFormat="1"/>
    <row r="938" s="259" customFormat="1"/>
    <row r="939" s="259" customFormat="1"/>
    <row r="940" s="259" customFormat="1"/>
    <row r="941" s="259" customFormat="1"/>
    <row r="942" s="259" customFormat="1"/>
    <row r="943" s="259" customFormat="1"/>
    <row r="944" s="259" customFormat="1"/>
    <row r="945" s="259" customFormat="1"/>
    <row r="946" s="259" customFormat="1"/>
    <row r="947" s="259" customFormat="1"/>
    <row r="948" s="259" customFormat="1"/>
    <row r="949" s="259" customFormat="1"/>
    <row r="950" s="259" customFormat="1"/>
    <row r="951" s="259" customFormat="1"/>
    <row r="952" s="259" customFormat="1"/>
    <row r="953" s="259" customFormat="1"/>
    <row r="954" s="259" customFormat="1"/>
    <row r="955" s="259" customFormat="1"/>
    <row r="956" s="259" customFormat="1"/>
    <row r="957" s="259" customFormat="1"/>
    <row r="958" s="259" customFormat="1"/>
    <row r="959" s="259" customFormat="1"/>
    <row r="960" s="259" customFormat="1"/>
    <row r="961" s="259" customFormat="1"/>
    <row r="962" s="259" customFormat="1"/>
    <row r="963" s="259" customFormat="1"/>
    <row r="964" s="259" customFormat="1"/>
    <row r="965" s="259" customFormat="1"/>
    <row r="966" s="259" customFormat="1"/>
    <row r="967" s="259" customFormat="1"/>
    <row r="968" s="259" customFormat="1"/>
    <row r="969" s="259" customFormat="1"/>
    <row r="970" s="259" customFormat="1"/>
    <row r="971" s="259" customFormat="1"/>
    <row r="972" s="259" customFormat="1"/>
    <row r="973" s="259" customFormat="1"/>
    <row r="974" s="259" customFormat="1"/>
    <row r="975" s="259" customFormat="1"/>
    <row r="976" s="259" customFormat="1"/>
    <row r="977" s="259" customFormat="1"/>
    <row r="978" s="259" customFormat="1"/>
    <row r="979" s="259" customFormat="1"/>
    <row r="980" s="259" customFormat="1"/>
    <row r="981" s="259" customFormat="1"/>
    <row r="982" s="259" customFormat="1"/>
    <row r="983" s="259" customFormat="1"/>
    <row r="984" s="259" customFormat="1"/>
    <row r="985" s="259" customFormat="1"/>
    <row r="986" s="259" customFormat="1"/>
    <row r="987" s="259" customFormat="1"/>
    <row r="988" s="259" customFormat="1"/>
    <row r="989" s="259" customFormat="1"/>
    <row r="990" s="259" customFormat="1"/>
    <row r="991" s="259" customFormat="1"/>
    <row r="992" s="259" customFormat="1"/>
    <row r="993" s="259" customFormat="1"/>
    <row r="994" s="259" customFormat="1"/>
    <row r="995" s="259" customFormat="1"/>
    <row r="996" s="259" customFormat="1"/>
    <row r="997" s="259" customFormat="1"/>
    <row r="998" s="259" customFormat="1"/>
    <row r="999" s="259" customFormat="1"/>
    <row r="1000" s="259" customFormat="1"/>
    <row r="1001" s="259" customFormat="1"/>
    <row r="1002" s="259" customFormat="1"/>
    <row r="1003" s="259" customFormat="1"/>
    <row r="1004" s="259" customFormat="1"/>
    <row r="1005" s="259" customFormat="1"/>
    <row r="1006" s="259" customFormat="1"/>
    <row r="1007" s="259" customFormat="1"/>
    <row r="1008" s="259" customFormat="1"/>
    <row r="1009" s="259" customFormat="1"/>
    <row r="1010" s="259" customFormat="1"/>
    <row r="1011" s="259" customFormat="1"/>
    <row r="1012" s="259" customFormat="1"/>
    <row r="1013" s="259" customFormat="1"/>
    <row r="1014" s="259" customFormat="1"/>
    <row r="1015" s="259" customFormat="1"/>
    <row r="1016" s="259" customFormat="1"/>
    <row r="1017" s="259" customFormat="1"/>
    <row r="1018" s="259" customFormat="1"/>
    <row r="1019" s="259" customFormat="1"/>
    <row r="1020" s="259" customFormat="1"/>
    <row r="1021" s="259" customFormat="1"/>
    <row r="1022" s="259" customFormat="1"/>
    <row r="1023" s="259" customFormat="1"/>
    <row r="1024" s="259" customFormat="1"/>
    <row r="1025" s="259" customFormat="1"/>
    <row r="1026" s="259" customFormat="1"/>
    <row r="1027" s="259" customFormat="1"/>
    <row r="1028" s="259" customFormat="1"/>
    <row r="1029" s="259" customFormat="1"/>
    <row r="1030" s="259" customFormat="1"/>
    <row r="1031" s="259" customFormat="1"/>
    <row r="1032" s="259" customFormat="1"/>
    <row r="1033" s="259" customFormat="1"/>
    <row r="1034" s="259" customFormat="1"/>
    <row r="1035" s="259" customFormat="1"/>
    <row r="1036" s="259" customFormat="1"/>
    <row r="1037" s="259" customFormat="1"/>
    <row r="1038" s="259" customFormat="1"/>
    <row r="1039" s="259" customFormat="1"/>
    <row r="1040" s="259" customFormat="1"/>
    <row r="1041" s="259" customFormat="1"/>
    <row r="1042" s="259" customFormat="1"/>
    <row r="1043" s="259" customFormat="1"/>
    <row r="1044" s="259" customFormat="1"/>
    <row r="1045" s="259" customFormat="1"/>
    <row r="1046" s="259" customFormat="1"/>
    <row r="1047" s="259" customFormat="1"/>
    <row r="1048" s="259" customFormat="1"/>
    <row r="1049" s="259" customFormat="1"/>
    <row r="1050" s="259" customFormat="1"/>
    <row r="1051" s="259" customFormat="1"/>
    <row r="1052" s="259" customFormat="1"/>
    <row r="1053" s="259" customFormat="1"/>
    <row r="1054" s="259" customFormat="1"/>
    <row r="1055" s="259" customFormat="1"/>
    <row r="1056" s="259" customFormat="1"/>
    <row r="1057" s="259" customFormat="1"/>
    <row r="1058" s="259" customFormat="1"/>
    <row r="1059" s="259" customFormat="1"/>
    <row r="1060" s="259" customFormat="1"/>
    <row r="1061" s="259" customFormat="1"/>
    <row r="1062" s="259" customFormat="1"/>
    <row r="1063" s="259" customFormat="1"/>
    <row r="1064" s="259" customFormat="1"/>
    <row r="1065" s="259" customFormat="1"/>
    <row r="1066" s="259" customFormat="1"/>
    <row r="1067" s="259" customFormat="1"/>
    <row r="1068" s="259" customFormat="1"/>
    <row r="1069" s="259" customFormat="1"/>
    <row r="1070" s="259" customFormat="1"/>
    <row r="1071" s="259" customFormat="1"/>
    <row r="1072" s="259" customFormat="1"/>
    <row r="1073" s="259" customFormat="1"/>
    <row r="1074" s="259" customFormat="1"/>
    <row r="1075" s="259" customFormat="1"/>
    <row r="1076" s="259" customFormat="1"/>
    <row r="1077" s="259" customFormat="1"/>
    <row r="1078" s="259" customFormat="1"/>
    <row r="1079" s="259" customFormat="1"/>
    <row r="1080" s="259" customFormat="1"/>
    <row r="1081" s="259" customFormat="1"/>
    <row r="1082" s="259" customFormat="1"/>
    <row r="1083" s="259" customFormat="1"/>
    <row r="1084" s="259" customFormat="1"/>
    <row r="1085" s="259" customFormat="1"/>
    <row r="1086" s="259" customFormat="1"/>
    <row r="1087" s="259" customFormat="1"/>
    <row r="1088" s="259" customFormat="1"/>
    <row r="1089" s="259" customFormat="1"/>
    <row r="1090" s="259" customFormat="1"/>
    <row r="1091" s="259" customFormat="1"/>
    <row r="1092" s="259" customFormat="1"/>
    <row r="1093" s="259" customFormat="1"/>
    <row r="1094" s="259" customFormat="1"/>
    <row r="1095" s="259" customFormat="1"/>
    <row r="1096" s="259" customFormat="1"/>
    <row r="1097" s="259" customFormat="1"/>
    <row r="1098" s="259" customFormat="1"/>
    <row r="1099" s="259" customFormat="1"/>
    <row r="1100" s="259" customFormat="1"/>
    <row r="1101" s="259" customFormat="1"/>
    <row r="1102" s="259" customFormat="1"/>
    <row r="1103" s="259" customFormat="1"/>
    <row r="1104" s="259" customFormat="1"/>
    <row r="1105" s="259" customFormat="1"/>
    <row r="1106" s="259" customFormat="1"/>
    <row r="1107" s="259" customFormat="1"/>
    <row r="1108" s="259" customFormat="1"/>
    <row r="1109" s="259" customFormat="1"/>
    <row r="1110" s="259" customFormat="1"/>
    <row r="1111" s="259" customFormat="1"/>
    <row r="1112" s="259" customFormat="1"/>
    <row r="1113" s="259" customFormat="1"/>
    <row r="1114" s="259" customFormat="1"/>
    <row r="1115" s="259" customFormat="1"/>
    <row r="1116" s="259" customFormat="1"/>
    <row r="1117" s="259" customFormat="1"/>
    <row r="1118" s="259" customFormat="1"/>
    <row r="1119" s="259" customFormat="1"/>
    <row r="1120" s="259" customFormat="1"/>
    <row r="1121" s="259" customFormat="1"/>
    <row r="1122" s="259" customFormat="1"/>
    <row r="1123" s="259" customFormat="1"/>
    <row r="1124" s="259" customFormat="1"/>
    <row r="1125" s="259" customFormat="1"/>
    <row r="1126" s="259" customFormat="1"/>
    <row r="1127" s="259" customFormat="1"/>
    <row r="1128" s="259" customFormat="1"/>
    <row r="1129" s="259" customFormat="1"/>
    <row r="1130" s="259" customFormat="1"/>
    <row r="1131" s="259" customFormat="1"/>
    <row r="1132" s="259" customFormat="1"/>
    <row r="1133" s="259" customFormat="1"/>
    <row r="1134" s="259" customFormat="1"/>
    <row r="1135" s="259" customFormat="1"/>
    <row r="1136" s="259" customFormat="1"/>
    <row r="1137" s="259" customFormat="1"/>
    <row r="1138" s="259" customFormat="1"/>
    <row r="1139" s="259" customFormat="1"/>
    <row r="1140" s="259" customFormat="1"/>
    <row r="1141" s="259" customFormat="1"/>
    <row r="1142" s="259" customFormat="1"/>
    <row r="1143" s="259" customFormat="1"/>
    <row r="1144" s="259" customFormat="1"/>
    <row r="1145" s="259" customFormat="1"/>
    <row r="1146" s="259" customFormat="1"/>
    <row r="1147" s="259" customFormat="1"/>
    <row r="1148" s="259" customFormat="1"/>
    <row r="1149" s="259" customFormat="1"/>
    <row r="1150" s="259" customFormat="1"/>
    <row r="1151" s="259" customFormat="1"/>
    <row r="1152" s="259" customFormat="1"/>
    <row r="1153" s="259" customFormat="1"/>
    <row r="1154" s="259" customFormat="1"/>
    <row r="1155" s="259" customFormat="1"/>
    <row r="1156" s="259" customFormat="1"/>
    <row r="1157" s="259" customFormat="1"/>
    <row r="1158" s="259" customFormat="1"/>
    <row r="1159" s="259" customFormat="1"/>
    <row r="1160" s="259" customFormat="1"/>
    <row r="1161" s="259" customFormat="1"/>
    <row r="1162" s="259" customFormat="1"/>
    <row r="1163" s="259" customFormat="1"/>
    <row r="1164" s="259" customFormat="1"/>
    <row r="1165" s="259" customFormat="1"/>
    <row r="1166" s="259" customFormat="1"/>
    <row r="1167" s="259" customFormat="1"/>
    <row r="1168" s="259" customFormat="1"/>
    <row r="1169" s="259" customFormat="1"/>
    <row r="1170" s="259" customFormat="1"/>
    <row r="1171" s="259" customFormat="1"/>
    <row r="1172" s="259" customFormat="1"/>
    <row r="1173" s="259" customFormat="1"/>
    <row r="1174" s="259" customFormat="1"/>
    <row r="1175" s="259" customFormat="1"/>
    <row r="1176" s="259" customFormat="1"/>
    <row r="1177" s="259" customFormat="1"/>
    <row r="1178" s="259" customFormat="1"/>
    <row r="1179" s="259" customFormat="1"/>
    <row r="1180" s="259" customFormat="1"/>
    <row r="1181" s="259" customFormat="1"/>
    <row r="1182" s="259" customFormat="1"/>
    <row r="1183" s="259" customFormat="1"/>
    <row r="1184" s="259" customFormat="1"/>
    <row r="1185" s="259" customFormat="1"/>
    <row r="1186" s="259" customFormat="1"/>
    <row r="1187" s="259" customFormat="1"/>
    <row r="1188" s="259" customFormat="1"/>
    <row r="1189" s="259" customFormat="1"/>
    <row r="1190" s="259" customFormat="1"/>
    <row r="1191" s="259" customFormat="1"/>
    <row r="1192" s="259" customFormat="1"/>
    <row r="1193" s="259" customFormat="1"/>
    <row r="1194" s="259" customFormat="1"/>
    <row r="1195" s="259" customFormat="1"/>
    <row r="1196" s="259" customFormat="1"/>
    <row r="1197" s="259" customFormat="1"/>
    <row r="1198" s="259" customFormat="1"/>
    <row r="1199" s="259" customFormat="1"/>
    <row r="1200" s="259" customFormat="1"/>
    <row r="1201" s="259" customFormat="1"/>
    <row r="1202" s="259" customFormat="1"/>
    <row r="1203" s="259" customFormat="1"/>
    <row r="1204" s="259" customFormat="1"/>
    <row r="1205" s="259" customFormat="1"/>
    <row r="1206" s="259" customFormat="1"/>
    <row r="1207" s="259" customFormat="1"/>
    <row r="1208" s="259" customFormat="1"/>
    <row r="1209" s="259" customFormat="1"/>
    <row r="1210" s="259" customFormat="1"/>
    <row r="1211" s="259" customFormat="1"/>
    <row r="1212" s="259" customFormat="1"/>
    <row r="1213" s="259" customFormat="1"/>
    <row r="1214" s="259" customFormat="1"/>
    <row r="1215" s="259" customFormat="1"/>
    <row r="1216" s="259" customFormat="1"/>
    <row r="1217" s="259" customFormat="1"/>
    <row r="1218" s="259" customFormat="1"/>
    <row r="1219" s="259" customFormat="1"/>
    <row r="1220" s="259" customFormat="1"/>
    <row r="1221" s="259" customFormat="1"/>
    <row r="1222" s="259" customFormat="1"/>
    <row r="1223" s="259" customFormat="1"/>
    <row r="1224" s="259" customFormat="1"/>
    <row r="1225" s="259" customFormat="1"/>
    <row r="1226" s="259" customFormat="1"/>
    <row r="1227" s="259" customFormat="1"/>
    <row r="1228" s="259" customFormat="1"/>
    <row r="1229" s="259" customFormat="1"/>
    <row r="1230" s="259" customFormat="1"/>
    <row r="1231" s="259" customFormat="1"/>
    <row r="1232" s="259" customFormat="1"/>
    <row r="1233" s="259" customFormat="1"/>
    <row r="1234" s="259" customFormat="1"/>
    <row r="1235" s="259" customFormat="1"/>
    <row r="1236" s="259" customFormat="1"/>
    <row r="1237" s="259" customFormat="1"/>
    <row r="1238" s="259" customFormat="1"/>
    <row r="1239" s="259" customFormat="1"/>
    <row r="1240" s="259" customFormat="1"/>
    <row r="1241" s="259" customFormat="1"/>
    <row r="1242" s="259" customFormat="1"/>
    <row r="1243" s="259" customFormat="1"/>
    <row r="1244" s="259" customFormat="1"/>
    <row r="1245" s="259" customFormat="1"/>
    <row r="1246" s="259" customFormat="1"/>
    <row r="1247" s="259" customFormat="1"/>
    <row r="1248" s="259" customFormat="1"/>
    <row r="1249" s="259" customFormat="1"/>
    <row r="1250" s="259" customFormat="1"/>
    <row r="1251" s="259" customFormat="1"/>
    <row r="1252" s="259" customFormat="1"/>
    <row r="1253" s="259" customFormat="1"/>
    <row r="1254" s="259" customFormat="1"/>
    <row r="1255" s="259" customFormat="1"/>
    <row r="1256" s="259" customFormat="1"/>
    <row r="1257" s="259" customFormat="1"/>
    <row r="1258" s="259" customFormat="1"/>
    <row r="1259" s="259" customFormat="1"/>
    <row r="1260" s="259" customFormat="1"/>
    <row r="1261" s="259" customFormat="1"/>
    <row r="1262" s="259" customFormat="1"/>
    <row r="1263" s="259" customFormat="1"/>
    <row r="1264" s="259" customFormat="1"/>
    <row r="1265" s="259" customFormat="1"/>
    <row r="1266" s="259" customFormat="1"/>
    <row r="1267" s="259" customFormat="1"/>
    <row r="1268" s="259" customFormat="1"/>
    <row r="1269" s="259" customFormat="1"/>
    <row r="1270" s="259" customFormat="1"/>
    <row r="1271" s="259" customFormat="1"/>
    <row r="1272" s="259" customFormat="1"/>
    <row r="1273" s="259" customFormat="1"/>
    <row r="1274" s="259" customFormat="1"/>
    <row r="1275" s="259" customFormat="1"/>
    <row r="1276" s="259" customFormat="1"/>
    <row r="1277" s="259" customFormat="1"/>
    <row r="1278" s="259" customFormat="1"/>
    <row r="1279" s="259" customFormat="1"/>
    <row r="1280" s="259" customFormat="1"/>
    <row r="1281" s="259" customFormat="1"/>
    <row r="1282" s="259" customFormat="1"/>
    <row r="1283" s="259" customFormat="1"/>
    <row r="1284" s="259" customFormat="1"/>
    <row r="1285" s="259" customFormat="1"/>
    <row r="1286" s="259" customFormat="1"/>
    <row r="1287" s="259" customFormat="1"/>
    <row r="1288" s="259" customFormat="1"/>
    <row r="1289" s="259" customFormat="1"/>
    <row r="1290" s="259" customFormat="1"/>
    <row r="1291" s="259" customFormat="1"/>
    <row r="1292" s="259" customFormat="1"/>
    <row r="1293" s="259" customFormat="1"/>
    <row r="1294" s="259" customFormat="1"/>
    <row r="1295" s="259" customFormat="1"/>
    <row r="1296" s="259" customFormat="1"/>
    <row r="1297" s="259" customFormat="1"/>
    <row r="1298" s="259" customFormat="1"/>
    <row r="1299" s="259" customFormat="1"/>
    <row r="1300" s="259" customFormat="1"/>
    <row r="1301" s="259" customFormat="1"/>
    <row r="1302" s="259" customFormat="1"/>
    <row r="1303" s="259" customFormat="1"/>
    <row r="1304" s="259" customFormat="1"/>
    <row r="1305" s="259" customFormat="1"/>
    <row r="1306" s="259" customFormat="1"/>
    <row r="1307" s="259" customFormat="1"/>
    <row r="1308" s="259" customFormat="1"/>
    <row r="1309" s="259" customFormat="1"/>
    <row r="1310" s="259" customFormat="1"/>
    <row r="1311" s="259" customFormat="1"/>
    <row r="1312" s="259" customFormat="1"/>
    <row r="1313" s="259" customFormat="1"/>
    <row r="1314" s="259" customFormat="1"/>
    <row r="1315" s="259" customFormat="1"/>
    <row r="1316" s="259" customFormat="1"/>
    <row r="1317" s="259" customFormat="1"/>
    <row r="1318" s="259" customFormat="1"/>
    <row r="1319" s="259" customFormat="1"/>
    <row r="1320" s="259" customFormat="1"/>
    <row r="1321" s="259" customFormat="1"/>
    <row r="1322" s="259" customFormat="1"/>
    <row r="1323" s="259" customFormat="1"/>
    <row r="1324" s="259" customFormat="1"/>
    <row r="1325" s="259" customFormat="1"/>
    <row r="1326" s="259" customFormat="1"/>
    <row r="1327" s="259" customFormat="1"/>
    <row r="1328" s="259" customFormat="1"/>
    <row r="1329" s="259" customFormat="1"/>
    <row r="1330" s="259" customFormat="1"/>
    <row r="1331" s="259" customFormat="1"/>
    <row r="1332" s="259" customFormat="1"/>
    <row r="1333" s="259" customFormat="1"/>
    <row r="1334" s="259" customFormat="1"/>
    <row r="1335" s="259" customFormat="1"/>
    <row r="1336" s="259" customFormat="1"/>
    <row r="1337" s="259" customFormat="1"/>
    <row r="1338" s="259" customFormat="1"/>
    <row r="1339" s="259" customFormat="1"/>
    <row r="1340" s="259" customFormat="1"/>
    <row r="1341" s="259" customFormat="1"/>
    <row r="1342" s="259" customFormat="1"/>
    <row r="1343" s="259" customFormat="1"/>
    <row r="1344" s="259" customFormat="1"/>
    <row r="1345" s="259" customFormat="1"/>
    <row r="1346" s="259" customFormat="1"/>
    <row r="1347" s="259" customFormat="1"/>
    <row r="1348" s="259" customFormat="1"/>
    <row r="1349" s="259" customFormat="1"/>
    <row r="1350" s="259" customFormat="1"/>
    <row r="1351" s="259" customFormat="1"/>
    <row r="1352" s="259" customFormat="1"/>
    <row r="1353" s="259" customFormat="1"/>
    <row r="1354" s="259" customFormat="1"/>
    <row r="1355" s="259" customFormat="1"/>
    <row r="1356" s="259" customFormat="1"/>
    <row r="1357" s="259" customFormat="1"/>
    <row r="1358" s="259" customFormat="1"/>
    <row r="1359" s="259" customFormat="1"/>
    <row r="1360" s="259" customFormat="1"/>
    <row r="1361" s="259" customFormat="1"/>
    <row r="1362" s="259" customFormat="1"/>
    <row r="1363" s="259" customFormat="1"/>
    <row r="1364" s="259" customFormat="1"/>
    <row r="1365" s="259" customFormat="1"/>
    <row r="1366" s="259" customFormat="1"/>
    <row r="1367" s="259" customFormat="1"/>
    <row r="1368" s="259" customFormat="1"/>
    <row r="1369" s="259" customFormat="1"/>
    <row r="1370" s="259" customFormat="1"/>
    <row r="1371" s="259" customFormat="1"/>
    <row r="1372" s="259" customFormat="1"/>
    <row r="1373" s="259" customFormat="1"/>
    <row r="1374" s="259" customFormat="1"/>
    <row r="1375" s="259" customFormat="1"/>
    <row r="1376" s="259" customFormat="1"/>
    <row r="1377" s="259" customFormat="1"/>
    <row r="1378" s="259" customFormat="1"/>
    <row r="1379" s="259" customFormat="1"/>
    <row r="1380" s="259" customFormat="1"/>
    <row r="1381" s="259" customFormat="1"/>
    <row r="1382" s="259" customFormat="1"/>
    <row r="1383" s="259" customFormat="1"/>
    <row r="1384" s="259" customFormat="1"/>
    <row r="1385" s="259" customFormat="1"/>
    <row r="1386" s="259" customFormat="1"/>
    <row r="1387" s="259" customFormat="1"/>
    <row r="1388" s="259" customFormat="1"/>
    <row r="1389" s="259" customFormat="1"/>
    <row r="1390" s="259" customFormat="1"/>
    <row r="1391" s="259" customFormat="1"/>
    <row r="1392" s="259" customFormat="1"/>
    <row r="1393" s="259" customFormat="1"/>
    <row r="1394" s="259" customFormat="1"/>
    <row r="1395" s="259" customFormat="1"/>
    <row r="1396" s="259" customFormat="1"/>
    <row r="1397" s="259" customFormat="1"/>
    <row r="1398" s="259" customFormat="1"/>
    <row r="1399" s="259" customFormat="1"/>
    <row r="1400" s="259" customFormat="1"/>
    <row r="1401" s="259" customFormat="1"/>
    <row r="1402" s="259" customFormat="1"/>
    <row r="1403" s="259" customFormat="1"/>
    <row r="1404" s="259" customFormat="1"/>
    <row r="1405" s="259" customFormat="1"/>
    <row r="1406" s="259" customFormat="1"/>
    <row r="1407" s="259" customFormat="1"/>
    <row r="1408" s="259" customFormat="1"/>
    <row r="1409" s="259" customFormat="1"/>
    <row r="1410" s="259" customFormat="1"/>
    <row r="1411" s="259" customFormat="1"/>
    <row r="1412" s="259" customFormat="1"/>
    <row r="1413" s="259" customFormat="1"/>
    <row r="1414" s="259" customFormat="1"/>
    <row r="1415" s="259" customFormat="1"/>
    <row r="1416" s="259" customFormat="1"/>
    <row r="1417" s="259" customFormat="1"/>
    <row r="1418" s="259" customFormat="1"/>
    <row r="1419" s="259" customFormat="1"/>
    <row r="1420" s="259" customFormat="1"/>
    <row r="1421" s="259" customFormat="1"/>
    <row r="1422" s="259" customFormat="1"/>
    <row r="1423" s="259" customFormat="1"/>
    <row r="1424" s="259" customFormat="1"/>
    <row r="1425" s="259" customFormat="1"/>
    <row r="1426" s="259" customFormat="1"/>
    <row r="1427" s="259" customFormat="1"/>
    <row r="1428" s="259" customFormat="1"/>
    <row r="1429" s="259" customFormat="1"/>
    <row r="1430" s="259" customFormat="1"/>
    <row r="1431" s="259" customFormat="1"/>
    <row r="1432" s="259" customFormat="1"/>
    <row r="1433" s="259" customFormat="1"/>
    <row r="1434" s="259" customFormat="1"/>
    <row r="1435" s="259" customFormat="1"/>
    <row r="1436" s="259" customFormat="1"/>
    <row r="1437" s="259" customFormat="1"/>
    <row r="1438" s="259" customFormat="1"/>
    <row r="1439" s="259" customFormat="1"/>
    <row r="1440" s="259" customFormat="1"/>
    <row r="1441" s="259" customFormat="1"/>
    <row r="1442" s="259" customFormat="1"/>
    <row r="1443" s="259" customFormat="1"/>
    <row r="1444" s="259" customFormat="1"/>
    <row r="1445" s="259" customFormat="1"/>
    <row r="1446" s="259" customFormat="1"/>
    <row r="1447" s="259" customFormat="1"/>
    <row r="1448" s="259" customFormat="1"/>
    <row r="1449" s="259" customFormat="1"/>
    <row r="1450" s="259" customFormat="1"/>
    <row r="1451" s="259" customFormat="1"/>
    <row r="1452" s="259" customFormat="1"/>
    <row r="1453" s="259" customFormat="1"/>
    <row r="1454" s="259" customFormat="1"/>
    <row r="1455" s="259" customFormat="1"/>
    <row r="1456" s="259" customFormat="1"/>
    <row r="1457" s="259" customFormat="1"/>
    <row r="1458" s="259" customFormat="1"/>
    <row r="1459" s="259" customFormat="1"/>
    <row r="1460" s="259" customFormat="1"/>
    <row r="1461" s="259" customFormat="1"/>
    <row r="1462" s="259" customFormat="1"/>
    <row r="1463" s="259" customFormat="1"/>
    <row r="1464" s="259" customFormat="1"/>
    <row r="1465" s="259" customFormat="1"/>
    <row r="1466" s="259" customFormat="1"/>
    <row r="1467" s="259" customFormat="1"/>
    <row r="1468" s="259" customFormat="1"/>
    <row r="1469" s="259" customFormat="1"/>
    <row r="1470" s="259" customFormat="1"/>
    <row r="1471" s="259" customFormat="1"/>
    <row r="1472" s="259" customFormat="1"/>
    <row r="1473" s="259" customFormat="1"/>
    <row r="1474" s="259" customFormat="1"/>
    <row r="1475" s="259" customFormat="1"/>
    <row r="1476" s="259" customFormat="1"/>
    <row r="1477" s="259" customFormat="1"/>
    <row r="1478" s="259" customFormat="1"/>
    <row r="1479" s="259" customFormat="1"/>
    <row r="1480" s="259" customFormat="1"/>
    <row r="1481" s="259" customFormat="1"/>
    <row r="1482" s="259" customFormat="1"/>
    <row r="1483" s="259" customFormat="1"/>
    <row r="1484" s="259" customFormat="1"/>
    <row r="1485" s="259" customFormat="1"/>
    <row r="1486" s="259" customFormat="1"/>
    <row r="1487" s="259" customFormat="1"/>
    <row r="1488" s="259" customFormat="1"/>
    <row r="1489" s="259" customFormat="1"/>
    <row r="1490" s="259" customFormat="1"/>
    <row r="1491" s="259" customFormat="1"/>
    <row r="1492" s="259" customFormat="1"/>
    <row r="1493" s="259" customFormat="1"/>
    <row r="1494" s="259" customFormat="1"/>
    <row r="1495" s="259" customFormat="1"/>
    <row r="1496" s="259" customFormat="1"/>
    <row r="1497" s="259" customFormat="1"/>
    <row r="1498" s="259" customFormat="1"/>
    <row r="1499" s="259" customFormat="1"/>
    <row r="1500" s="259" customFormat="1"/>
    <row r="1501" s="259" customFormat="1"/>
    <row r="1502" s="259" customFormat="1"/>
    <row r="1503" s="259" customFormat="1"/>
    <row r="1504" s="259" customFormat="1"/>
    <row r="1505" s="259" customFormat="1"/>
    <row r="1506" s="259" customFormat="1"/>
    <row r="1507" s="259" customFormat="1"/>
    <row r="1508" s="259" customFormat="1"/>
    <row r="1509" s="259" customFormat="1"/>
    <row r="1510" s="259" customFormat="1"/>
    <row r="1511" s="259" customFormat="1"/>
    <row r="1512" s="259" customFormat="1"/>
    <row r="1513" s="259" customFormat="1"/>
    <row r="1514" s="259" customFormat="1"/>
    <row r="1515" s="259" customFormat="1"/>
    <row r="1516" s="259" customFormat="1"/>
    <row r="1517" s="259" customFormat="1"/>
    <row r="1518" s="259" customFormat="1"/>
    <row r="1519" s="259" customFormat="1"/>
    <row r="1520" s="259" customFormat="1"/>
    <row r="1521" s="259" customFormat="1"/>
    <row r="1522" s="259" customFormat="1"/>
    <row r="1523" s="259" customFormat="1"/>
    <row r="1524" s="259" customFormat="1"/>
    <row r="1525" s="259" customFormat="1"/>
    <row r="1526" s="259" customFormat="1"/>
    <row r="1527" s="259" customFormat="1"/>
    <row r="1528" s="259" customFormat="1"/>
    <row r="1529" s="259" customFormat="1"/>
    <row r="1530" s="259" customFormat="1"/>
    <row r="1531" s="259" customFormat="1"/>
    <row r="1532" s="259" customFormat="1"/>
    <row r="1533" s="259" customFormat="1"/>
    <row r="1534" s="259" customFormat="1"/>
    <row r="1535" s="259" customFormat="1"/>
    <row r="1536" s="259" customFormat="1"/>
    <row r="1537" s="259" customFormat="1"/>
    <row r="1538" s="259" customFormat="1"/>
    <row r="1539" s="259" customFormat="1"/>
    <row r="1540" s="259" customFormat="1"/>
    <row r="1541" s="259" customFormat="1"/>
    <row r="1542" s="259" customFormat="1"/>
    <row r="1543" s="259" customFormat="1"/>
    <row r="1544" s="259" customFormat="1"/>
    <row r="1545" s="259" customFormat="1"/>
    <row r="1546" s="259" customFormat="1"/>
    <row r="1547" s="259" customFormat="1"/>
    <row r="1548" s="259" customFormat="1"/>
    <row r="1549" s="259" customFormat="1"/>
    <row r="1550" s="259" customFormat="1"/>
    <row r="1551" s="259" customFormat="1"/>
    <row r="1552" s="259" customFormat="1"/>
    <row r="1553" s="259" customFormat="1"/>
    <row r="1554" s="259" customFormat="1"/>
    <row r="1555" s="259" customFormat="1"/>
    <row r="1556" s="259" customFormat="1"/>
    <row r="1557" s="259" customFormat="1"/>
    <row r="1558" s="259" customFormat="1"/>
    <row r="1559" s="259" customFormat="1"/>
    <row r="1560" s="259" customFormat="1"/>
    <row r="1561" s="259" customFormat="1"/>
    <row r="1562" s="259" customFormat="1"/>
    <row r="1563" s="259" customFormat="1"/>
    <row r="1564" s="259" customFormat="1"/>
    <row r="1565" s="259" customFormat="1"/>
    <row r="1566" s="259" customFormat="1"/>
    <row r="1567" s="259" customFormat="1"/>
    <row r="1568" s="259" customFormat="1"/>
    <row r="1569" s="259" customFormat="1"/>
    <row r="1570" s="259" customFormat="1"/>
    <row r="1571" s="259" customFormat="1"/>
    <row r="1572" s="259" customFormat="1"/>
    <row r="1573" s="259" customFormat="1"/>
    <row r="1574" s="259" customFormat="1"/>
    <row r="1575" s="259" customFormat="1"/>
    <row r="1576" s="259" customFormat="1"/>
    <row r="1577" s="259" customFormat="1"/>
    <row r="1578" s="259" customFormat="1"/>
    <row r="1579" s="259" customFormat="1"/>
    <row r="1580" s="259" customFormat="1"/>
    <row r="1581" s="259" customFormat="1"/>
    <row r="1582" s="259" customFormat="1"/>
    <row r="1583" s="259" customFormat="1"/>
    <row r="1584" s="259" customFormat="1"/>
    <row r="1585" s="259" customFormat="1"/>
    <row r="1586" s="259" customFormat="1"/>
    <row r="1587" s="259" customFormat="1"/>
    <row r="1588" s="259" customFormat="1"/>
    <row r="1589" s="259" customFormat="1"/>
    <row r="1590" s="259" customFormat="1"/>
    <row r="1591" s="259" customFormat="1"/>
    <row r="1592" s="259" customFormat="1"/>
    <row r="1593" s="259" customFormat="1"/>
    <row r="1594" s="259" customFormat="1"/>
    <row r="1595" s="259" customFormat="1"/>
    <row r="1596" s="259" customFormat="1"/>
    <row r="1597" s="259" customFormat="1"/>
    <row r="1598" s="259" customFormat="1"/>
    <row r="1599" s="259" customFormat="1"/>
    <row r="1600" s="259" customFormat="1"/>
    <row r="1601" s="259" customFormat="1"/>
    <row r="1602" s="259" customFormat="1"/>
    <row r="1603" s="259" customFormat="1"/>
    <row r="1604" s="259" customFormat="1"/>
    <row r="1605" s="259" customFormat="1"/>
    <row r="1606" s="259" customFormat="1"/>
    <row r="1607" s="259" customFormat="1"/>
    <row r="1608" s="259" customFormat="1"/>
    <row r="1609" s="259" customFormat="1"/>
    <row r="1610" s="259" customFormat="1"/>
    <row r="1611" s="259" customFormat="1"/>
    <row r="1612" s="259" customFormat="1"/>
    <row r="1613" s="259" customFormat="1"/>
    <row r="1614" s="259" customFormat="1"/>
    <row r="1615" s="259" customFormat="1"/>
    <row r="1616" s="259" customFormat="1"/>
    <row r="1617" s="259" customFormat="1"/>
    <row r="1618" s="259" customFormat="1"/>
    <row r="1619" s="259" customFormat="1"/>
    <row r="1620" s="259" customFormat="1"/>
    <row r="1621" s="259" customFormat="1"/>
    <row r="1622" s="259" customFormat="1"/>
    <row r="1623" s="259" customFormat="1"/>
    <row r="1624" s="259" customFormat="1"/>
    <row r="1625" s="259" customFormat="1"/>
    <row r="1626" s="259" customFormat="1"/>
    <row r="1627" s="259" customFormat="1"/>
    <row r="1628" s="259" customFormat="1"/>
    <row r="1629" s="259" customFormat="1"/>
    <row r="1630" s="259" customFormat="1"/>
    <row r="1631" s="259" customFormat="1"/>
    <row r="1632" s="259" customFormat="1"/>
    <row r="1633" s="259" customFormat="1"/>
    <row r="1634" s="259" customFormat="1"/>
    <row r="1635" s="259" customFormat="1"/>
    <row r="1636" s="259" customFormat="1"/>
    <row r="1637" s="259" customFormat="1"/>
    <row r="1638" s="259" customFormat="1"/>
    <row r="1639" s="259" customFormat="1"/>
    <row r="1640" s="259" customFormat="1"/>
    <row r="1641" s="259" customFormat="1"/>
    <row r="1642" s="259" customFormat="1"/>
    <row r="1643" s="259" customFormat="1"/>
    <row r="1644" s="259" customFormat="1"/>
    <row r="1645" s="259" customFormat="1"/>
    <row r="1646" s="259" customFormat="1"/>
    <row r="1647" s="259" customFormat="1"/>
    <row r="1648" s="259" customFormat="1"/>
    <row r="1649" s="259" customFormat="1"/>
    <row r="1650" s="259" customFormat="1"/>
    <row r="1651" s="259" customFormat="1"/>
    <row r="1652" s="259" customFormat="1"/>
    <row r="1653" s="259" customFormat="1"/>
    <row r="1654" s="259" customFormat="1"/>
    <row r="1655" s="259" customFormat="1"/>
    <row r="1656" s="259" customFormat="1"/>
    <row r="1657" s="259" customFormat="1"/>
    <row r="1658" s="259" customFormat="1"/>
    <row r="1659" s="259" customFormat="1"/>
    <row r="1660" s="259" customFormat="1"/>
    <row r="1661" s="259" customFormat="1"/>
    <row r="1662" s="259" customFormat="1"/>
    <row r="1663" s="259" customFormat="1"/>
    <row r="1664" s="259" customFormat="1"/>
    <row r="1665" s="259" customFormat="1"/>
    <row r="1666" s="259" customFormat="1"/>
    <row r="1667" s="259" customFormat="1"/>
    <row r="1668" s="259" customFormat="1"/>
    <row r="1669" s="259" customFormat="1"/>
    <row r="1670" s="259" customFormat="1"/>
    <row r="1671" s="259" customFormat="1"/>
    <row r="1672" s="259" customFormat="1"/>
    <row r="1673" s="259" customFormat="1"/>
    <row r="1674" s="259" customFormat="1"/>
    <row r="1675" s="259" customFormat="1"/>
    <row r="1676" s="259" customFormat="1"/>
    <row r="1677" s="259" customFormat="1"/>
    <row r="1678" s="259" customFormat="1"/>
    <row r="1679" s="259" customFormat="1"/>
    <row r="1680" s="259" customFormat="1"/>
    <row r="1681" s="259" customFormat="1"/>
    <row r="1682" s="259" customFormat="1"/>
    <row r="1683" s="259" customFormat="1"/>
    <row r="1684" s="259" customFormat="1"/>
    <row r="1685" s="259" customFormat="1"/>
    <row r="1686" s="259" customFormat="1"/>
    <row r="1687" s="259" customFormat="1"/>
    <row r="1688" s="259" customFormat="1"/>
    <row r="1689" s="259" customFormat="1"/>
    <row r="1690" s="259" customFormat="1"/>
    <row r="1691" s="259" customFormat="1"/>
    <row r="1692" s="259" customFormat="1"/>
    <row r="1693" s="259" customFormat="1"/>
    <row r="1694" s="259" customFormat="1"/>
    <row r="1695" s="259" customFormat="1"/>
    <row r="1696" s="259" customFormat="1"/>
    <row r="1697" s="259" customFormat="1"/>
    <row r="1698" s="259" customFormat="1"/>
    <row r="1699" s="259" customFormat="1"/>
    <row r="1700" s="259" customFormat="1"/>
    <row r="1701" s="259" customFormat="1"/>
    <row r="1702" s="259" customFormat="1"/>
    <row r="1703" s="259" customFormat="1"/>
    <row r="1704" s="259" customFormat="1"/>
    <row r="1705" s="259" customFormat="1"/>
    <row r="1706" s="259" customFormat="1"/>
    <row r="1707" s="259" customFormat="1"/>
    <row r="1708" s="259" customFormat="1"/>
    <row r="1709" s="259" customFormat="1"/>
    <row r="1710" s="259" customFormat="1"/>
    <row r="1711" s="259" customFormat="1"/>
    <row r="1712" s="259" customFormat="1"/>
    <row r="1713" s="259" customFormat="1"/>
    <row r="1714" s="259" customFormat="1"/>
    <row r="1715" s="259" customFormat="1"/>
    <row r="1716" s="259" customFormat="1"/>
    <row r="1717" s="259" customFormat="1"/>
    <row r="1718" s="259" customFormat="1"/>
    <row r="1719" s="259" customFormat="1"/>
    <row r="1720" s="259" customFormat="1"/>
    <row r="1721" s="259" customFormat="1"/>
    <row r="1722" s="259" customFormat="1"/>
    <row r="1723" s="259" customFormat="1"/>
    <row r="1724" s="259" customFormat="1"/>
    <row r="1725" s="259" customFormat="1"/>
    <row r="1726" s="259" customFormat="1"/>
    <row r="1727" s="259" customFormat="1"/>
    <row r="1728" s="259" customFormat="1"/>
    <row r="1729" s="259" customFormat="1"/>
    <row r="1730" s="259" customFormat="1"/>
    <row r="1731" s="259" customFormat="1"/>
    <row r="1732" s="259" customFormat="1"/>
    <row r="1733" s="259" customFormat="1"/>
    <row r="1734" s="259" customFormat="1"/>
    <row r="1735" s="259" customFormat="1"/>
    <row r="1736" s="259" customFormat="1"/>
    <row r="1737" s="259" customFormat="1"/>
    <row r="1738" s="259" customFormat="1"/>
    <row r="1739" s="259" customFormat="1"/>
    <row r="1740" s="259" customFormat="1"/>
    <row r="1741" s="259" customFormat="1"/>
    <row r="1742" s="259" customFormat="1"/>
    <row r="1743" s="259" customFormat="1"/>
    <row r="1744" s="259" customFormat="1"/>
    <row r="1745" s="259" customFormat="1"/>
    <row r="1746" s="259" customFormat="1"/>
    <row r="1747" s="259" customFormat="1"/>
    <row r="1748" s="259" customFormat="1"/>
    <row r="1749" s="259" customFormat="1"/>
    <row r="1750" s="259" customFormat="1"/>
    <row r="1751" s="259" customFormat="1"/>
    <row r="1752" s="259" customFormat="1"/>
    <row r="1753" s="259" customFormat="1"/>
    <row r="1754" s="259" customFormat="1"/>
    <row r="1755" s="259" customFormat="1"/>
    <row r="1756" s="259" customFormat="1"/>
    <row r="1757" s="259" customFormat="1"/>
    <row r="1758" s="259" customFormat="1"/>
    <row r="1759" s="259" customFormat="1"/>
    <row r="1760" s="259" customFormat="1"/>
    <row r="1761" s="259" customFormat="1"/>
    <row r="1762" s="259" customFormat="1"/>
    <row r="1763" s="259" customFormat="1"/>
    <row r="1764" s="259" customFormat="1"/>
    <row r="1765" s="259" customFormat="1"/>
    <row r="1766" s="259" customFormat="1"/>
    <row r="1767" s="259" customFormat="1"/>
    <row r="1768" s="259" customFormat="1"/>
    <row r="1769" s="259" customFormat="1"/>
    <row r="1770" s="259" customFormat="1"/>
    <row r="1771" s="259" customFormat="1"/>
    <row r="1772" s="259" customFormat="1"/>
    <row r="1773" s="259" customFormat="1"/>
    <row r="1774" s="259" customFormat="1"/>
    <row r="1775" s="259" customFormat="1"/>
    <row r="1776" s="259" customFormat="1"/>
    <row r="1777" s="259" customFormat="1"/>
    <row r="1778" s="259" customFormat="1"/>
    <row r="1779" s="259" customFormat="1"/>
    <row r="1780" s="259" customFormat="1"/>
    <row r="1781" s="259" customFormat="1"/>
    <row r="1782" s="259" customFormat="1"/>
    <row r="1783" s="259" customFormat="1"/>
    <row r="1784" s="259" customFormat="1"/>
    <row r="1785" s="259" customFormat="1"/>
    <row r="1786" s="259" customFormat="1"/>
    <row r="1787" s="259" customFormat="1"/>
    <row r="1788" s="259" customFormat="1"/>
    <row r="1789" s="259" customFormat="1"/>
    <row r="1790" s="259" customFormat="1"/>
    <row r="1791" s="259" customFormat="1"/>
    <row r="1792" s="259" customFormat="1"/>
    <row r="1793" s="259" customFormat="1"/>
    <row r="1794" s="259" customFormat="1"/>
    <row r="1795" s="259" customFormat="1"/>
    <row r="1796" s="259" customFormat="1"/>
    <row r="1797" s="259" customFormat="1"/>
    <row r="1798" s="259" customFormat="1"/>
    <row r="1799" s="259" customFormat="1"/>
    <row r="1800" s="259" customFormat="1"/>
    <row r="1801" s="259" customFormat="1"/>
    <row r="1802" s="259" customFormat="1"/>
    <row r="1803" s="259" customFormat="1"/>
    <row r="1804" s="259" customFormat="1"/>
    <row r="1805" s="259" customFormat="1"/>
    <row r="1806" s="259" customFormat="1"/>
    <row r="1807" s="259" customFormat="1"/>
    <row r="1808" s="259" customFormat="1"/>
    <row r="1809" s="259" customFormat="1"/>
    <row r="1810" s="259" customFormat="1"/>
    <row r="1811" s="259" customFormat="1"/>
    <row r="1812" s="259" customFormat="1"/>
    <row r="1813" s="259" customFormat="1"/>
    <row r="1814" s="259" customFormat="1"/>
    <row r="1815" s="259" customFormat="1"/>
    <row r="1816" s="259" customFormat="1"/>
    <row r="1817" s="259" customFormat="1"/>
    <row r="1818" s="259" customFormat="1"/>
    <row r="1819" s="259" customFormat="1"/>
    <row r="1820" s="259" customFormat="1"/>
    <row r="1821" s="259" customFormat="1"/>
    <row r="1822" s="259" customFormat="1"/>
    <row r="1823" s="259" customFormat="1"/>
    <row r="1824" s="259" customFormat="1"/>
    <row r="1825" s="259" customFormat="1"/>
    <row r="1826" s="259" customFormat="1"/>
    <row r="1827" s="259" customFormat="1"/>
    <row r="1828" s="259" customFormat="1"/>
    <row r="1829" s="259" customFormat="1"/>
    <row r="1830" s="259" customFormat="1"/>
    <row r="1831" s="259" customFormat="1"/>
    <row r="1832" s="259" customFormat="1"/>
    <row r="1833" s="259" customFormat="1"/>
    <row r="1834" s="259" customFormat="1"/>
    <row r="1835" s="259" customFormat="1"/>
    <row r="1836" s="259" customFormat="1"/>
    <row r="1837" s="259" customFormat="1"/>
    <row r="1838" s="259" customFormat="1"/>
    <row r="1839" s="259" customFormat="1"/>
    <row r="1840" s="259" customFormat="1"/>
    <row r="1841" s="259" customFormat="1"/>
    <row r="1842" s="259" customFormat="1"/>
    <row r="1843" s="259" customFormat="1"/>
    <row r="1844" s="259" customFormat="1"/>
    <row r="1845" s="259" customFormat="1"/>
    <row r="1846" s="259" customFormat="1"/>
    <row r="1847" s="259" customFormat="1"/>
    <row r="1848" s="259" customFormat="1"/>
    <row r="1849" s="259" customFormat="1"/>
    <row r="1850" s="259" customFormat="1"/>
    <row r="1851" s="259" customFormat="1"/>
    <row r="1852" s="259" customFormat="1"/>
    <row r="1853" s="259" customFormat="1"/>
    <row r="1854" s="259" customFormat="1"/>
    <row r="1855" s="259" customFormat="1"/>
    <row r="1856" s="259" customFormat="1"/>
    <row r="1857" s="259" customFormat="1"/>
    <row r="1858" s="259" customFormat="1"/>
    <row r="1859" s="259" customFormat="1"/>
    <row r="1860" s="259" customFormat="1"/>
    <row r="1861" s="259" customFormat="1"/>
    <row r="1862" s="259" customFormat="1"/>
    <row r="1863" s="259" customFormat="1"/>
    <row r="1864" s="259" customFormat="1"/>
    <row r="1865" s="259" customFormat="1"/>
    <row r="1866" s="259" customFormat="1"/>
    <row r="1867" s="259" customFormat="1"/>
    <row r="1868" s="259" customFormat="1"/>
    <row r="1869" s="259" customFormat="1"/>
    <row r="1870" s="259" customFormat="1"/>
    <row r="1871" s="259" customFormat="1"/>
    <row r="1872" s="259" customFormat="1"/>
    <row r="1873" s="259" customFormat="1"/>
    <row r="1874" s="259" customFormat="1"/>
    <row r="1875" s="259" customFormat="1"/>
    <row r="1876" s="259" customFormat="1"/>
    <row r="1877" s="259" customFormat="1"/>
    <row r="1878" s="259" customFormat="1"/>
    <row r="1879" s="259" customFormat="1"/>
    <row r="1880" s="259" customFormat="1"/>
    <row r="1881" s="259" customFormat="1"/>
    <row r="1882" s="259" customFormat="1"/>
    <row r="1883" s="259" customFormat="1"/>
    <row r="1884" s="259" customFormat="1"/>
    <row r="1885" s="259" customFormat="1"/>
    <row r="1886" s="259" customFormat="1"/>
    <row r="1887" s="259" customFormat="1"/>
    <row r="1888" s="259" customFormat="1"/>
    <row r="1889" s="259" customFormat="1"/>
    <row r="1890" s="259" customFormat="1"/>
    <row r="1891" s="259" customFormat="1"/>
    <row r="1892" s="259" customFormat="1"/>
    <row r="1893" s="259" customFormat="1"/>
    <row r="1894" s="259" customFormat="1"/>
    <row r="1895" s="259" customFormat="1"/>
    <row r="1896" s="259" customFormat="1"/>
    <row r="1897" s="259" customFormat="1"/>
    <row r="1898" s="259" customFormat="1"/>
    <row r="1899" s="259" customFormat="1"/>
    <row r="1900" s="259" customFormat="1"/>
    <row r="1901" s="259" customFormat="1"/>
    <row r="1902" s="259" customFormat="1"/>
    <row r="1903" s="259" customFormat="1"/>
    <row r="1904" s="259" customFormat="1"/>
    <row r="1905" s="259" customFormat="1"/>
    <row r="1906" s="259" customFormat="1"/>
    <row r="1907" s="259" customFormat="1"/>
    <row r="1908" s="259" customFormat="1"/>
    <row r="1909" s="259" customFormat="1"/>
    <row r="1910" s="259" customFormat="1"/>
    <row r="1911" s="259" customFormat="1"/>
    <row r="1912" s="259" customFormat="1"/>
    <row r="1913" s="259" customFormat="1"/>
    <row r="1914" s="259" customFormat="1"/>
    <row r="1915" s="259" customFormat="1"/>
    <row r="1916" s="259" customFormat="1"/>
    <row r="1917" s="259" customFormat="1"/>
    <row r="1918" s="259" customFormat="1"/>
    <row r="1919" s="259" customFormat="1"/>
    <row r="1920" s="259" customFormat="1"/>
    <row r="1921" s="259" customFormat="1"/>
    <row r="1922" s="259" customFormat="1"/>
    <row r="1923" s="259" customFormat="1"/>
    <row r="1924" s="259" customFormat="1"/>
    <row r="1925" s="259" customFormat="1"/>
    <row r="1926" s="259" customFormat="1"/>
    <row r="1927" s="259" customFormat="1"/>
    <row r="1928" s="259" customFormat="1"/>
    <row r="1929" s="259" customFormat="1"/>
    <row r="1930" s="259" customFormat="1"/>
    <row r="1931" s="259" customFormat="1"/>
    <row r="1932" s="259" customFormat="1"/>
    <row r="1933" s="259" customFormat="1"/>
    <row r="1934" s="259" customFormat="1"/>
    <row r="1935" s="259" customFormat="1"/>
    <row r="1936" s="259" customFormat="1"/>
    <row r="1937" s="259" customFormat="1"/>
    <row r="1938" s="259" customFormat="1"/>
    <row r="1939" s="259" customFormat="1"/>
    <row r="1940" s="259" customFormat="1"/>
    <row r="1941" s="259" customFormat="1"/>
    <row r="1942" s="259" customFormat="1"/>
    <row r="1943" s="259" customFormat="1"/>
    <row r="1944" s="259" customFormat="1"/>
    <row r="1945" s="259" customFormat="1"/>
    <row r="1946" s="259" customFormat="1"/>
    <row r="1947" s="259" customFormat="1"/>
    <row r="1948" s="259" customFormat="1"/>
    <row r="1949" s="259" customFormat="1"/>
    <row r="1950" s="259" customFormat="1"/>
    <row r="1951" s="259" customFormat="1"/>
    <row r="1952" s="259" customFormat="1"/>
    <row r="1953" s="259" customFormat="1"/>
    <row r="1954" s="259" customFormat="1"/>
    <row r="1955" s="259" customFormat="1"/>
    <row r="1956" s="259" customFormat="1"/>
    <row r="1957" s="259" customFormat="1"/>
    <row r="1958" s="259" customFormat="1"/>
    <row r="1959" s="259" customFormat="1"/>
    <row r="1960" s="259" customFormat="1"/>
    <row r="1961" s="259" customFormat="1"/>
    <row r="1962" s="259" customFormat="1"/>
    <row r="1963" s="259" customFormat="1"/>
    <row r="1964" s="259" customFormat="1"/>
    <row r="1965" s="259" customFormat="1"/>
    <row r="1966" s="259" customFormat="1"/>
    <row r="1967" s="259" customFormat="1"/>
    <row r="1968" s="259" customFormat="1"/>
    <row r="1969" s="259" customFormat="1"/>
    <row r="1970" s="259" customFormat="1"/>
    <row r="1971" s="259" customFormat="1"/>
    <row r="1972" s="259" customFormat="1"/>
    <row r="1973" s="259" customFormat="1"/>
    <row r="1974" s="259" customFormat="1"/>
    <row r="1975" s="259" customFormat="1"/>
    <row r="1976" s="259" customFormat="1"/>
    <row r="1977" s="259" customFormat="1"/>
    <row r="1978" s="259" customFormat="1"/>
    <row r="1979" s="259" customFormat="1"/>
    <row r="1980" s="259" customFormat="1"/>
    <row r="1981" s="259" customFormat="1"/>
    <row r="1982" s="259" customFormat="1"/>
    <row r="1983" s="259" customFormat="1"/>
    <row r="1984" s="259" customFormat="1"/>
    <row r="1985" s="259" customFormat="1"/>
    <row r="1986" s="259" customFormat="1"/>
    <row r="1987" s="259" customFormat="1"/>
    <row r="1988" s="259" customFormat="1"/>
    <row r="1989" s="259" customFormat="1"/>
    <row r="1990" s="259" customFormat="1"/>
    <row r="1991" s="259" customFormat="1"/>
    <row r="1992" s="259" customFormat="1"/>
    <row r="1993" s="259" customFormat="1"/>
    <row r="1994" s="259" customFormat="1"/>
    <row r="1995" s="259" customFormat="1"/>
    <row r="1996" s="259" customFormat="1"/>
    <row r="1997" s="259" customFormat="1"/>
    <row r="1998" s="259" customFormat="1"/>
    <row r="1999" s="259" customFormat="1"/>
    <row r="2000" s="259" customFormat="1"/>
    <row r="2001" s="259" customFormat="1"/>
    <row r="2002" s="259" customFormat="1"/>
    <row r="2003" s="259" customFormat="1"/>
    <row r="2004" s="259" customFormat="1"/>
    <row r="2005" s="259" customFormat="1"/>
    <row r="2006" s="259" customFormat="1"/>
    <row r="2007" s="259" customFormat="1"/>
    <row r="2008" s="259" customFormat="1"/>
    <row r="2009" s="259" customFormat="1"/>
    <row r="2010" s="259" customFormat="1"/>
    <row r="2011" s="259" customFormat="1"/>
    <row r="2012" s="259" customFormat="1"/>
    <row r="2013" s="259" customFormat="1"/>
    <row r="2014" s="259" customFormat="1"/>
    <row r="2015" s="259" customFormat="1"/>
    <row r="2016" s="259" customFormat="1"/>
    <row r="2017" s="259" customFormat="1"/>
    <row r="2018" s="259" customFormat="1"/>
    <row r="2019" s="259" customFormat="1"/>
    <row r="2020" s="259" customFormat="1"/>
    <row r="2021" s="259" customFormat="1"/>
    <row r="2022" s="259" customFormat="1"/>
    <row r="2023" s="259" customFormat="1"/>
    <row r="2024" s="259" customFormat="1"/>
    <row r="2025" s="259" customFormat="1"/>
    <row r="2026" s="259" customFormat="1"/>
    <row r="2027" s="259" customFormat="1"/>
    <row r="2028" s="259" customFormat="1"/>
    <row r="2029" s="259" customFormat="1"/>
    <row r="2030" s="259" customFormat="1"/>
    <row r="2031" s="259" customFormat="1"/>
    <row r="2032" s="259" customFormat="1"/>
    <row r="2033" s="259" customFormat="1"/>
    <row r="2034" s="259" customFormat="1"/>
    <row r="2035" s="259" customFormat="1"/>
    <row r="2036" s="259" customFormat="1"/>
    <row r="2037" s="259" customFormat="1"/>
    <row r="2038" s="259" customFormat="1"/>
    <row r="2039" s="259" customFormat="1"/>
    <row r="2040" s="259" customFormat="1"/>
    <row r="2041" s="259" customFormat="1"/>
    <row r="2042" s="259" customFormat="1"/>
    <row r="2043" s="259" customFormat="1"/>
    <row r="2044" s="259" customFormat="1"/>
    <row r="2045" s="259" customFormat="1"/>
    <row r="2046" s="259" customFormat="1"/>
    <row r="2047" s="259" customFormat="1"/>
    <row r="2048" s="259" customFormat="1"/>
    <row r="2049" s="259" customFormat="1"/>
    <row r="2050" s="259" customFormat="1"/>
    <row r="2051" s="259" customFormat="1"/>
    <row r="2052" s="259" customFormat="1"/>
    <row r="2053" s="259" customFormat="1"/>
    <row r="2054" s="259" customFormat="1"/>
    <row r="2055" s="259" customFormat="1"/>
    <row r="2056" s="259" customFormat="1"/>
    <row r="2057" s="259" customFormat="1"/>
    <row r="2058" s="259" customFormat="1"/>
    <row r="2059" s="259" customFormat="1"/>
    <row r="2060" s="259" customFormat="1"/>
    <row r="2061" s="259" customFormat="1"/>
    <row r="2062" s="259" customFormat="1"/>
    <row r="2063" s="259" customFormat="1"/>
    <row r="2064" s="259" customFormat="1"/>
    <row r="2065" s="259" customFormat="1"/>
    <row r="2066" s="259" customFormat="1"/>
    <row r="2067" s="259" customFormat="1"/>
    <row r="2068" s="259" customFormat="1"/>
    <row r="2069" s="259" customFormat="1"/>
    <row r="2070" s="259" customFormat="1"/>
    <row r="2071" s="259" customFormat="1"/>
    <row r="2072" s="259" customFormat="1"/>
    <row r="2073" s="259" customFormat="1"/>
    <row r="2074" s="259" customFormat="1"/>
    <row r="2075" s="259" customFormat="1"/>
    <row r="2076" s="259" customFormat="1"/>
    <row r="2077" s="259" customFormat="1"/>
    <row r="2078" s="259" customFormat="1"/>
    <row r="2079" s="259" customFormat="1"/>
    <row r="2080" s="259" customFormat="1"/>
    <row r="2081" s="259" customFormat="1"/>
    <row r="2082" s="259" customFormat="1"/>
    <row r="2083" s="259" customFormat="1"/>
    <row r="2084" s="259" customFormat="1"/>
    <row r="2085" s="259" customFormat="1"/>
    <row r="2086" s="259" customFormat="1"/>
    <row r="2087" s="259" customFormat="1"/>
    <row r="2088" s="259" customFormat="1"/>
    <row r="2089" s="259" customFormat="1"/>
    <row r="2090" s="259" customFormat="1"/>
    <row r="2091" s="259" customFormat="1"/>
    <row r="2092" s="259" customFormat="1"/>
    <row r="2093" s="259" customFormat="1"/>
    <row r="2094" s="259" customFormat="1"/>
    <row r="2095" s="259" customFormat="1"/>
    <row r="2096" s="259" customFormat="1"/>
    <row r="2097" s="259" customFormat="1"/>
    <row r="2098" s="259" customFormat="1"/>
    <row r="2099" s="259" customFormat="1"/>
    <row r="2100" s="259" customFormat="1"/>
    <row r="2101" s="259" customFormat="1"/>
    <row r="2102" s="259" customFormat="1"/>
    <row r="2103" s="259" customFormat="1"/>
    <row r="2104" s="259" customFormat="1"/>
    <row r="2105" s="259" customFormat="1"/>
    <row r="2106" s="259" customFormat="1"/>
    <row r="2107" s="259" customFormat="1"/>
    <row r="2108" s="259" customFormat="1"/>
    <row r="2109" s="259" customFormat="1"/>
    <row r="2110" s="259" customFormat="1"/>
    <row r="2111" s="259" customFormat="1"/>
    <row r="2112" s="259" customFormat="1"/>
    <row r="2113" s="259" customFormat="1"/>
    <row r="2114" s="259" customFormat="1"/>
    <row r="2115" s="259" customFormat="1"/>
    <row r="2116" s="259" customFormat="1"/>
    <row r="2117" s="259" customFormat="1"/>
    <row r="2118" s="259" customFormat="1"/>
    <row r="2119" s="259" customFormat="1"/>
    <row r="2120" s="259" customFormat="1"/>
    <row r="2121" s="259" customFormat="1"/>
    <row r="2122" s="259" customFormat="1"/>
    <row r="2123" s="259" customFormat="1"/>
    <row r="2124" s="259" customFormat="1"/>
    <row r="2125" s="259" customFormat="1"/>
    <row r="2126" s="259" customFormat="1"/>
    <row r="2127" s="259" customFormat="1"/>
    <row r="2128" s="259" customFormat="1"/>
    <row r="2129" s="259" customFormat="1"/>
    <row r="2130" s="259" customFormat="1"/>
    <row r="2131" s="259" customFormat="1"/>
    <row r="2132" s="259" customFormat="1"/>
    <row r="2133" s="259" customFormat="1"/>
    <row r="2134" s="259" customFormat="1"/>
    <row r="2135" s="259" customFormat="1"/>
    <row r="2136" s="259" customFormat="1"/>
    <row r="2137" s="259" customFormat="1"/>
    <row r="2138" s="259" customFormat="1"/>
    <row r="2139" s="259" customFormat="1"/>
    <row r="2140" s="259" customFormat="1"/>
    <row r="2141" s="259" customFormat="1"/>
    <row r="2142" s="259" customFormat="1"/>
    <row r="2143" s="259" customFormat="1"/>
    <row r="2144" s="259" customFormat="1"/>
    <row r="2145" s="259" customFormat="1"/>
    <row r="2146" s="259" customFormat="1"/>
    <row r="2147" s="259" customFormat="1"/>
    <row r="2148" s="259" customFormat="1"/>
    <row r="2149" s="259" customFormat="1"/>
    <row r="2150" s="259" customFormat="1"/>
    <row r="2151" s="259" customFormat="1"/>
    <row r="2152" s="259" customFormat="1"/>
    <row r="2153" s="259" customFormat="1"/>
    <row r="2154" s="259" customFormat="1"/>
    <row r="2155" s="259" customFormat="1"/>
    <row r="2156" s="259" customFormat="1"/>
    <row r="2157" s="259" customFormat="1"/>
    <row r="2158" s="259" customFormat="1"/>
    <row r="2159" s="259" customFormat="1"/>
    <row r="2160" s="259" customFormat="1"/>
    <row r="2161" s="259" customFormat="1"/>
    <row r="2162" s="259" customFormat="1"/>
    <row r="2163" s="259" customFormat="1"/>
    <row r="2164" s="259" customFormat="1"/>
    <row r="2165" s="259" customFormat="1"/>
    <row r="2166" s="259" customFormat="1"/>
    <row r="2167" s="259" customFormat="1"/>
    <row r="2168" s="259" customFormat="1"/>
    <row r="2169" s="259" customFormat="1"/>
    <row r="2170" s="259" customFormat="1"/>
    <row r="2171" s="259" customFormat="1"/>
    <row r="2172" s="259" customFormat="1"/>
    <row r="2173" s="259" customFormat="1"/>
    <row r="2174" s="259" customFormat="1"/>
    <row r="2175" s="259" customFormat="1"/>
    <row r="2176" s="259" customFormat="1"/>
    <row r="2177" s="259" customFormat="1"/>
    <row r="2178" s="259" customFormat="1"/>
    <row r="2179" s="259" customFormat="1"/>
    <row r="2180" s="259" customFormat="1"/>
    <row r="2181" s="259" customFormat="1"/>
    <row r="2182" s="259" customFormat="1"/>
    <row r="2183" s="259" customFormat="1"/>
    <row r="2184" s="259" customFormat="1"/>
    <row r="2185" s="259" customFormat="1"/>
    <row r="2186" s="259" customFormat="1"/>
    <row r="2187" s="259" customFormat="1"/>
    <row r="2188" s="259" customFormat="1"/>
    <row r="2189" s="259" customFormat="1"/>
    <row r="2190" s="259" customFormat="1"/>
    <row r="2191" s="259" customFormat="1"/>
    <row r="2192" s="259" customFormat="1"/>
    <row r="2193" s="259" customFormat="1"/>
    <row r="2194" s="259" customFormat="1"/>
    <row r="2195" s="259" customFormat="1"/>
    <row r="2196" s="259" customFormat="1"/>
    <row r="2197" s="259" customFormat="1"/>
    <row r="2198" s="259" customFormat="1"/>
    <row r="2199" s="259" customFormat="1"/>
    <row r="2200" s="259" customFormat="1"/>
    <row r="2201" s="259" customFormat="1"/>
    <row r="2202" s="259" customFormat="1"/>
    <row r="2203" s="259" customFormat="1"/>
    <row r="2204" s="259" customFormat="1"/>
    <row r="2205" s="259" customFormat="1"/>
    <row r="2206" s="259" customFormat="1"/>
    <row r="2207" s="259" customFormat="1"/>
    <row r="2208" s="259" customFormat="1"/>
    <row r="2209" s="259" customFormat="1"/>
    <row r="2210" s="259" customFormat="1"/>
    <row r="2211" s="259" customFormat="1"/>
    <row r="2212" s="259" customFormat="1"/>
    <row r="2213" s="259" customFormat="1"/>
    <row r="2214" s="259" customFormat="1"/>
    <row r="2215" s="259" customFormat="1"/>
    <row r="2216" s="259" customFormat="1"/>
    <row r="2217" s="259" customFormat="1"/>
    <row r="2218" s="259" customFormat="1"/>
    <row r="2219" s="259" customFormat="1"/>
    <row r="2220" s="259" customFormat="1"/>
    <row r="2221" s="259" customFormat="1"/>
    <row r="2222" s="259" customFormat="1"/>
    <row r="2223" s="259" customFormat="1"/>
    <row r="2224" s="259" customFormat="1"/>
    <row r="2225" s="259" customFormat="1"/>
    <row r="2226" s="259" customFormat="1"/>
    <row r="2227" s="259" customFormat="1"/>
    <row r="2228" s="259" customFormat="1"/>
    <row r="2229" s="259" customFormat="1"/>
    <row r="2230" s="259" customFormat="1"/>
    <row r="2231" s="259" customFormat="1"/>
    <row r="2232" s="259" customFormat="1"/>
    <row r="2233" s="259" customFormat="1"/>
    <row r="2234" s="259" customFormat="1"/>
    <row r="2235" s="259" customFormat="1"/>
    <row r="2236" s="259" customFormat="1"/>
    <row r="2237" s="259" customFormat="1"/>
    <row r="2238" s="259" customFormat="1"/>
    <row r="2239" s="259" customFormat="1"/>
    <row r="2240" s="259" customFormat="1"/>
    <row r="2241" s="259" customFormat="1"/>
    <row r="2242" s="259" customFormat="1"/>
    <row r="2243" s="259" customFormat="1"/>
    <row r="2244" s="259" customFormat="1"/>
    <row r="2245" s="259" customFormat="1"/>
    <row r="2246" s="259" customFormat="1"/>
    <row r="2247" s="259" customFormat="1"/>
    <row r="2248" s="259" customFormat="1"/>
    <row r="2249" s="259" customFormat="1"/>
    <row r="2250" s="259" customFormat="1"/>
    <row r="2251" s="259" customFormat="1"/>
    <row r="2252" s="259" customFormat="1"/>
    <row r="2253" s="259" customFormat="1"/>
    <row r="2254" s="259" customFormat="1"/>
    <row r="2255" s="259" customFormat="1"/>
    <row r="2256" s="259" customFormat="1"/>
    <row r="2257" s="259" customFormat="1"/>
    <row r="2258" s="259" customFormat="1"/>
    <row r="2259" s="259" customFormat="1"/>
    <row r="2260" s="259" customFormat="1"/>
    <row r="2261" s="259" customFormat="1"/>
    <row r="2262" s="259" customFormat="1"/>
    <row r="2263" s="259" customFormat="1"/>
    <row r="2264" s="259" customFormat="1"/>
    <row r="2265" s="259" customFormat="1"/>
    <row r="2266" s="259" customFormat="1"/>
    <row r="2267" s="259" customFormat="1"/>
    <row r="2268" s="259" customFormat="1"/>
    <row r="2269" s="259" customFormat="1"/>
    <row r="2270" s="259" customFormat="1"/>
    <row r="2271" s="259" customFormat="1"/>
    <row r="2272" s="259" customFormat="1"/>
    <row r="2273" s="259" customFormat="1"/>
    <row r="2274" s="259" customFormat="1"/>
    <row r="2275" s="259" customFormat="1"/>
    <row r="2276" s="259" customFormat="1"/>
    <row r="2277" s="259" customFormat="1"/>
    <row r="2278" s="259" customFormat="1"/>
    <row r="2279" s="259" customFormat="1"/>
    <row r="2280" s="259" customFormat="1"/>
    <row r="2281" s="259" customFormat="1"/>
    <row r="2282" s="259" customFormat="1"/>
    <row r="2283" s="259" customFormat="1"/>
    <row r="2284" s="259" customFormat="1"/>
    <row r="2285" s="259" customFormat="1"/>
    <row r="2286" s="259" customFormat="1"/>
    <row r="2287" s="259" customFormat="1"/>
    <row r="2288" s="259" customFormat="1"/>
    <row r="2289" s="259" customFormat="1"/>
    <row r="2290" s="259" customFormat="1"/>
    <row r="2291" s="259" customFormat="1"/>
    <row r="2292" s="259" customFormat="1"/>
    <row r="2293" s="259" customFormat="1"/>
    <row r="2294" s="259" customFormat="1"/>
    <row r="2295" s="259" customFormat="1"/>
    <row r="2296" s="259" customFormat="1"/>
    <row r="2297" s="259" customFormat="1"/>
    <row r="2298" s="259" customFormat="1"/>
    <row r="2299" s="259" customFormat="1"/>
    <row r="2300" s="259" customFormat="1"/>
    <row r="2301" s="259" customFormat="1"/>
    <row r="2302" s="259" customFormat="1"/>
    <row r="2303" s="259" customFormat="1"/>
    <row r="2304" s="259" customFormat="1"/>
    <row r="2305" s="259" customFormat="1"/>
    <row r="2306" s="259" customFormat="1"/>
    <row r="2307" s="259" customFormat="1"/>
    <row r="2308" s="259" customFormat="1"/>
    <row r="2309" s="259" customFormat="1"/>
    <row r="2310" s="259" customFormat="1"/>
    <row r="2311" s="259" customFormat="1"/>
    <row r="2312" s="259" customFormat="1"/>
    <row r="2313" s="259" customFormat="1"/>
    <row r="2314" s="259" customFormat="1"/>
    <row r="2315" s="259" customFormat="1"/>
    <row r="2316" s="259" customFormat="1"/>
    <row r="2317" s="259" customFormat="1"/>
    <row r="2318" s="259" customFormat="1"/>
    <row r="2319" s="259" customFormat="1"/>
    <row r="2320" s="259" customFormat="1"/>
    <row r="2321" s="259" customFormat="1"/>
    <row r="2322" s="259" customFormat="1"/>
    <row r="2323" s="259" customFormat="1"/>
    <row r="2324" s="259" customFormat="1"/>
    <row r="2325" s="259" customFormat="1"/>
    <row r="2326" s="259" customFormat="1"/>
    <row r="2327" s="259" customFormat="1"/>
    <row r="2328" s="259" customFormat="1"/>
    <row r="2329" s="259" customFormat="1"/>
    <row r="2330" s="259" customFormat="1"/>
    <row r="2331" s="259" customFormat="1"/>
    <row r="2332" s="259" customFormat="1"/>
    <row r="2333" s="259" customFormat="1"/>
    <row r="2334" s="259" customFormat="1"/>
    <row r="2335" s="259" customFormat="1"/>
    <row r="2336" s="259" customFormat="1"/>
    <row r="2337" s="259" customFormat="1"/>
    <row r="2338" s="259" customFormat="1"/>
    <row r="2339" s="259" customFormat="1"/>
    <row r="2340" s="259" customFormat="1"/>
    <row r="2341" s="259" customFormat="1"/>
    <row r="2342" s="259" customFormat="1"/>
    <row r="2343" s="259" customFormat="1"/>
    <row r="2344" s="259" customFormat="1"/>
    <row r="2345" s="259" customFormat="1"/>
    <row r="2346" s="259" customFormat="1"/>
    <row r="2347" s="259" customFormat="1"/>
    <row r="2348" s="259" customFormat="1"/>
    <row r="2349" s="259" customFormat="1"/>
    <row r="2350" s="259" customFormat="1"/>
    <row r="2351" s="259" customFormat="1"/>
    <row r="2352" s="259" customFormat="1"/>
    <row r="2353" s="259" customFormat="1"/>
    <row r="2354" s="259" customFormat="1"/>
    <row r="2355" s="259" customFormat="1"/>
    <row r="2356" s="259" customFormat="1"/>
    <row r="2357" s="259" customFormat="1"/>
    <row r="2358" s="259" customFormat="1"/>
    <row r="2359" s="259" customFormat="1"/>
    <row r="2360" s="259" customFormat="1"/>
    <row r="2361" s="259" customFormat="1"/>
    <row r="2362" s="259" customFormat="1"/>
    <row r="2363" s="259" customFormat="1"/>
    <row r="2364" s="259" customFormat="1"/>
    <row r="2365" s="259" customFormat="1"/>
    <row r="2366" s="259" customFormat="1"/>
    <row r="2367" s="259" customFormat="1"/>
    <row r="2368" s="259" customFormat="1"/>
    <row r="2369" s="259" customFormat="1"/>
    <row r="2370" s="259" customFormat="1"/>
    <row r="2371" s="259" customFormat="1"/>
    <row r="2372" s="259" customFormat="1"/>
    <row r="2373" s="259" customFormat="1"/>
    <row r="2374" s="259" customFormat="1"/>
    <row r="2375" s="259" customFormat="1"/>
    <row r="2376" s="259" customFormat="1"/>
    <row r="2377" s="259" customFormat="1"/>
    <row r="2378" s="259" customFormat="1"/>
    <row r="2379" s="259" customFormat="1"/>
    <row r="2380" s="259" customFormat="1"/>
    <row r="2381" s="259" customFormat="1"/>
    <row r="2382" s="259" customFormat="1"/>
    <row r="2383" s="259" customFormat="1"/>
    <row r="2384" s="259" customFormat="1"/>
    <row r="2385" s="259" customFormat="1"/>
    <row r="2386" s="259" customFormat="1"/>
    <row r="2387" s="259" customFormat="1"/>
    <row r="2388" s="259" customFormat="1"/>
    <row r="2389" s="259" customFormat="1"/>
    <row r="2390" s="259" customFormat="1"/>
    <row r="2391" s="259" customFormat="1"/>
    <row r="2392" s="259" customFormat="1"/>
    <row r="2393" s="259" customFormat="1"/>
    <row r="2394" s="259" customFormat="1"/>
    <row r="2395" s="259" customFormat="1"/>
    <row r="2396" s="259" customFormat="1"/>
    <row r="2397" s="259" customFormat="1"/>
    <row r="2398" s="259" customFormat="1"/>
    <row r="2399" s="259" customFormat="1"/>
    <row r="2400" s="259" customFormat="1"/>
    <row r="2401" s="259" customFormat="1"/>
    <row r="2402" s="259" customFormat="1"/>
    <row r="2403" s="259" customFormat="1"/>
    <row r="2404" s="259" customFormat="1"/>
    <row r="2405" s="259" customFormat="1"/>
    <row r="2406" s="259" customFormat="1"/>
    <row r="2407" s="259" customFormat="1"/>
    <row r="2408" s="259" customFormat="1"/>
    <row r="2409" s="259" customFormat="1"/>
    <row r="2410" s="259" customFormat="1"/>
    <row r="2411" s="259" customFormat="1"/>
    <row r="2412" s="259" customFormat="1"/>
    <row r="2413" s="259" customFormat="1"/>
    <row r="2414" s="259" customFormat="1"/>
    <row r="2415" s="259" customFormat="1"/>
    <row r="2416" s="259" customFormat="1"/>
    <row r="2417" s="259" customFormat="1"/>
    <row r="2418" s="259" customFormat="1"/>
    <row r="2419" s="259" customFormat="1"/>
    <row r="2420" s="259" customFormat="1"/>
    <row r="2421" s="259" customFormat="1"/>
    <row r="2422" s="259" customFormat="1"/>
    <row r="2423" s="259" customFormat="1"/>
    <row r="2424" s="259" customFormat="1"/>
    <row r="2425" s="259" customFormat="1"/>
    <row r="2426" s="259" customFormat="1"/>
    <row r="2427" s="259" customFormat="1"/>
    <row r="2428" s="259" customFormat="1"/>
    <row r="2429" s="259" customFormat="1"/>
    <row r="2430" s="259" customFormat="1"/>
    <row r="2431" s="259" customFormat="1"/>
    <row r="2432" s="259" customFormat="1"/>
    <row r="2433" s="259" customFormat="1"/>
    <row r="2434" s="259" customFormat="1"/>
    <row r="2435" s="259" customFormat="1"/>
    <row r="2436" s="259" customFormat="1"/>
    <row r="2437" s="259" customFormat="1"/>
    <row r="2438" s="259" customFormat="1"/>
    <row r="2439" s="259" customFormat="1"/>
    <row r="2440" s="259" customFormat="1"/>
    <row r="2441" s="259" customFormat="1"/>
    <row r="2442" s="259" customFormat="1"/>
    <row r="2443" s="259" customFormat="1"/>
    <row r="2444" s="259" customFormat="1"/>
    <row r="2445" s="259" customFormat="1"/>
    <row r="2446" s="259" customFormat="1"/>
    <row r="2447" s="259" customFormat="1"/>
    <row r="2448" s="259" customFormat="1"/>
    <row r="2449" s="259" customFormat="1"/>
    <row r="2450" s="259" customFormat="1"/>
    <row r="2451" s="259" customFormat="1"/>
    <row r="2452" s="259" customFormat="1"/>
    <row r="2453" s="259" customFormat="1"/>
    <row r="2454" s="259" customFormat="1"/>
    <row r="2455" s="259" customFormat="1"/>
    <row r="2456" s="259" customFormat="1"/>
    <row r="2457" s="259" customFormat="1"/>
    <row r="2458" s="259" customFormat="1"/>
    <row r="2459" s="259" customFormat="1"/>
    <row r="2460" s="259" customFormat="1"/>
    <row r="2461" s="259" customFormat="1"/>
    <row r="2462" s="259" customFormat="1"/>
    <row r="2463" s="259" customFormat="1"/>
    <row r="2464" s="259" customFormat="1"/>
    <row r="2465" s="259" customFormat="1"/>
    <row r="2466" s="259" customFormat="1"/>
    <row r="2467" s="259" customFormat="1"/>
    <row r="2468" s="259" customFormat="1"/>
    <row r="2469" s="259" customFormat="1"/>
    <row r="2470" s="259" customFormat="1"/>
    <row r="2471" s="259" customFormat="1"/>
    <row r="2472" s="259" customFormat="1"/>
    <row r="2473" s="259" customFormat="1"/>
    <row r="2474" s="259" customFormat="1"/>
    <row r="2475" s="259" customFormat="1"/>
    <row r="2476" s="259" customFormat="1"/>
    <row r="2477" s="259" customFormat="1"/>
    <row r="2478" s="259" customFormat="1"/>
    <row r="2479" s="259" customFormat="1"/>
    <row r="2480" s="259" customFormat="1"/>
    <row r="2481" s="259" customFormat="1"/>
    <row r="2482" s="259" customFormat="1"/>
    <row r="2483" s="259" customFormat="1"/>
    <row r="2484" s="259" customFormat="1"/>
    <row r="2485" s="259" customFormat="1"/>
    <row r="2486" s="259" customFormat="1"/>
    <row r="2487" s="259" customFormat="1"/>
    <row r="2488" s="259" customFormat="1"/>
    <row r="2489" s="259" customFormat="1"/>
    <row r="2490" s="259" customFormat="1"/>
    <row r="2491" s="259" customFormat="1"/>
    <row r="2492" s="259" customFormat="1"/>
    <row r="2493" s="259" customFormat="1"/>
    <row r="2494" s="259" customFormat="1"/>
    <row r="2495" s="259" customFormat="1"/>
    <row r="2496" s="259" customFormat="1"/>
    <row r="2497" s="259" customFormat="1"/>
    <row r="2498" s="259" customFormat="1"/>
    <row r="2499" s="259" customFormat="1"/>
    <row r="2500" s="259" customFormat="1"/>
    <row r="2501" s="259" customFormat="1"/>
    <row r="2502" s="259" customFormat="1"/>
    <row r="2503" s="259" customFormat="1"/>
    <row r="2504" s="259" customFormat="1"/>
    <row r="2505" s="259" customFormat="1"/>
    <row r="2506" s="259" customFormat="1"/>
    <row r="2507" s="259" customFormat="1"/>
    <row r="2508" s="259" customFormat="1"/>
    <row r="2509" s="259" customFormat="1"/>
    <row r="2510" s="259" customFormat="1"/>
    <row r="2511" s="259" customFormat="1"/>
    <row r="2512" s="259" customFormat="1"/>
    <row r="2513" s="259" customFormat="1"/>
    <row r="2514" s="259" customFormat="1"/>
    <row r="2515" s="259" customFormat="1"/>
    <row r="2516" s="259" customFormat="1"/>
    <row r="2517" s="259" customFormat="1"/>
    <row r="2518" s="259" customFormat="1"/>
    <row r="2519" s="259" customFormat="1"/>
    <row r="2520" s="259" customFormat="1"/>
    <row r="2521" s="259" customFormat="1"/>
    <row r="2522" s="259" customFormat="1"/>
    <row r="2523" s="259" customFormat="1"/>
    <row r="2524" s="259" customFormat="1"/>
    <row r="2525" s="259" customFormat="1"/>
    <row r="2526" s="259" customFormat="1"/>
    <row r="2527" s="259" customFormat="1"/>
    <row r="2528" s="259" customFormat="1"/>
    <row r="2529" s="259" customFormat="1"/>
    <row r="2530" s="259" customFormat="1"/>
    <row r="2531" s="259" customFormat="1"/>
    <row r="2532" s="259" customFormat="1"/>
    <row r="2533" s="259" customFormat="1"/>
    <row r="2534" s="259" customFormat="1"/>
    <row r="2535" s="259" customFormat="1"/>
    <row r="2536" s="259" customFormat="1"/>
    <row r="2537" s="259" customFormat="1"/>
    <row r="2538" s="259" customFormat="1"/>
    <row r="2539" s="259" customFormat="1"/>
    <row r="2540" s="259" customFormat="1"/>
    <row r="2541" s="259" customFormat="1"/>
    <row r="2542" s="259" customFormat="1"/>
    <row r="2543" s="259" customFormat="1"/>
    <row r="2544" s="259" customFormat="1"/>
    <row r="2545" s="259" customFormat="1"/>
    <row r="2546" s="259" customFormat="1"/>
    <row r="2547" s="259" customFormat="1"/>
    <row r="2548" s="259" customFormat="1"/>
    <row r="2549" s="259" customFormat="1"/>
    <row r="2550" s="259" customFormat="1"/>
    <row r="2551" s="259" customFormat="1"/>
    <row r="2552" s="259" customFormat="1"/>
    <row r="2553" s="259" customFormat="1"/>
    <row r="2554" s="259" customFormat="1"/>
    <row r="2555" s="259" customFormat="1"/>
    <row r="2556" s="259" customFormat="1"/>
    <row r="2557" s="259" customFormat="1"/>
    <row r="2558" s="259" customFormat="1"/>
    <row r="2559" s="259" customFormat="1"/>
    <row r="2560" s="259" customFormat="1"/>
    <row r="2561" s="259" customFormat="1"/>
    <row r="2562" s="259" customFormat="1"/>
    <row r="2563" s="259" customFormat="1"/>
    <row r="2564" s="259" customFormat="1"/>
    <row r="2565" s="259" customFormat="1"/>
    <row r="2566" s="259" customFormat="1"/>
    <row r="2567" s="259" customFormat="1"/>
    <row r="2568" s="259" customFormat="1"/>
    <row r="2569" s="259" customFormat="1"/>
    <row r="2570" s="259" customFormat="1"/>
    <row r="2571" s="259" customFormat="1"/>
    <row r="2572" s="259" customFormat="1"/>
    <row r="2573" s="259" customFormat="1"/>
    <row r="2574" s="259" customFormat="1"/>
    <row r="2575" s="259" customFormat="1"/>
    <row r="2576" s="259" customFormat="1"/>
    <row r="2577" s="259" customFormat="1"/>
    <row r="2578" s="259" customFormat="1"/>
    <row r="2579" s="259" customFormat="1"/>
    <row r="2580" s="259" customFormat="1"/>
    <row r="2581" s="259" customFormat="1"/>
    <row r="2582" s="259" customFormat="1"/>
    <row r="2583" s="259" customFormat="1"/>
    <row r="2584" s="259" customFormat="1"/>
    <row r="2585" s="259" customFormat="1"/>
    <row r="2586" s="259" customFormat="1"/>
    <row r="2587" s="259" customFormat="1"/>
    <row r="2588" s="259" customFormat="1"/>
    <row r="2589" s="259" customFormat="1"/>
    <row r="2590" s="259" customFormat="1"/>
    <row r="2591" s="259" customFormat="1"/>
    <row r="2592" s="259" customFormat="1"/>
    <row r="2593" s="259" customFormat="1"/>
    <row r="2594" s="259" customFormat="1"/>
    <row r="2595" s="259" customFormat="1"/>
    <row r="2596" s="259" customFormat="1"/>
    <row r="2597" s="259" customFormat="1"/>
    <row r="2598" s="259" customFormat="1"/>
    <row r="2599" s="259" customFormat="1"/>
    <row r="2600" s="259" customFormat="1"/>
    <row r="2601" s="259" customFormat="1"/>
    <row r="2602" s="259" customFormat="1"/>
    <row r="2603" s="259" customFormat="1"/>
    <row r="2604" s="259" customFormat="1"/>
    <row r="2605" s="259" customFormat="1"/>
    <row r="2606" s="259" customFormat="1"/>
    <row r="2607" s="259" customFormat="1"/>
    <row r="2608" s="259" customFormat="1"/>
    <row r="2609" s="259" customFormat="1"/>
    <row r="2610" s="259" customFormat="1"/>
    <row r="2611" s="259" customFormat="1"/>
    <row r="2612" s="259" customFormat="1"/>
    <row r="2613" s="259" customFormat="1"/>
    <row r="2614" s="259" customFormat="1"/>
    <row r="2615" s="259" customFormat="1"/>
    <row r="2616" s="259" customFormat="1"/>
    <row r="2617" s="259" customFormat="1"/>
    <row r="2618" s="259" customFormat="1"/>
    <row r="2619" s="259" customFormat="1"/>
    <row r="2620" s="259" customFormat="1"/>
    <row r="2621" s="259" customFormat="1"/>
    <row r="2622" s="259" customFormat="1"/>
    <row r="2623" s="259" customFormat="1"/>
    <row r="2624" s="259" customFormat="1"/>
    <row r="2625" s="259" customFormat="1"/>
    <row r="2626" s="259" customFormat="1"/>
    <row r="2627" s="259" customFormat="1"/>
    <row r="2628" s="259" customFormat="1"/>
    <row r="2629" s="259" customFormat="1"/>
    <row r="2630" s="259" customFormat="1"/>
    <row r="2631" s="259" customFormat="1"/>
    <row r="2632" s="259" customFormat="1"/>
    <row r="2633" s="259" customFormat="1"/>
    <row r="2634" s="259" customFormat="1"/>
    <row r="2635" s="259" customFormat="1"/>
    <row r="2636" s="259" customFormat="1"/>
    <row r="2637" s="259" customFormat="1"/>
    <row r="2638" s="259" customFormat="1"/>
    <row r="2639" s="259" customFormat="1"/>
    <row r="2640" s="259" customFormat="1"/>
    <row r="2641" s="259" customFormat="1"/>
    <row r="2642" s="259" customFormat="1"/>
    <row r="2643" s="259" customFormat="1"/>
    <row r="2644" s="259" customFormat="1"/>
    <row r="2645" s="259" customFormat="1"/>
    <row r="2646" s="259" customFormat="1"/>
    <row r="2647" s="259" customFormat="1"/>
    <row r="2648" s="259" customFormat="1"/>
    <row r="2649" s="259" customFormat="1"/>
    <row r="2650" s="259" customFormat="1"/>
    <row r="2651" s="259" customFormat="1"/>
    <row r="2652" s="259" customFormat="1"/>
    <row r="2653" s="259" customFormat="1"/>
    <row r="2654" s="259" customFormat="1"/>
    <row r="2655" s="259" customFormat="1"/>
    <row r="2656" s="259" customFormat="1"/>
    <row r="2657" s="259" customFormat="1"/>
    <row r="2658" s="259" customFormat="1"/>
    <row r="2659" s="259" customFormat="1"/>
    <row r="2660" s="259" customFormat="1"/>
    <row r="2661" s="259" customFormat="1"/>
    <row r="2662" s="259" customFormat="1"/>
    <row r="2663" s="259" customFormat="1"/>
    <row r="2664" s="259" customFormat="1"/>
    <row r="2665" s="259" customFormat="1"/>
    <row r="2666" s="259" customFormat="1"/>
    <row r="2667" s="259" customFormat="1"/>
    <row r="2668" s="259" customFormat="1"/>
    <row r="2669" s="259" customFormat="1"/>
    <row r="2670" s="259" customFormat="1"/>
    <row r="2671" s="259" customFormat="1"/>
    <row r="2672" s="259" customFormat="1"/>
    <row r="2673" s="259" customFormat="1"/>
    <row r="2674" s="259" customFormat="1"/>
    <row r="2675" s="259" customFormat="1"/>
    <row r="2676" s="259" customFormat="1"/>
    <row r="2677" s="259" customFormat="1"/>
    <row r="2678" s="259" customFormat="1"/>
    <row r="2679" s="259" customFormat="1"/>
    <row r="2680" s="259" customFormat="1"/>
    <row r="2681" s="259" customFormat="1"/>
    <row r="2682" s="259" customFormat="1"/>
    <row r="2683" s="259" customFormat="1"/>
    <row r="2684" s="259" customFormat="1"/>
    <row r="2685" s="259" customFormat="1"/>
    <row r="2686" s="259" customFormat="1"/>
    <row r="2687" s="259" customFormat="1"/>
    <row r="2688" s="259" customFormat="1"/>
    <row r="2689" s="259" customFormat="1"/>
    <row r="2690" s="259" customFormat="1"/>
    <row r="2691" s="259" customFormat="1"/>
    <row r="2692" s="259" customFormat="1"/>
    <row r="2693" s="259" customFormat="1"/>
    <row r="2694" s="259" customFormat="1"/>
    <row r="2695" s="259" customFormat="1"/>
    <row r="2696" s="259" customFormat="1"/>
    <row r="2697" s="259" customFormat="1"/>
    <row r="2698" s="259" customFormat="1"/>
    <row r="2699" s="259" customFormat="1"/>
    <row r="2700" s="259" customFormat="1"/>
    <row r="2701" s="259" customFormat="1"/>
    <row r="2702" s="259" customFormat="1"/>
    <row r="2703" s="259" customFormat="1"/>
    <row r="2704" s="259" customFormat="1"/>
    <row r="2705" s="259" customFormat="1"/>
    <row r="2706" s="259" customFormat="1"/>
    <row r="2707" s="259" customFormat="1"/>
    <row r="2708" s="259" customFormat="1"/>
    <row r="2709" s="259" customFormat="1"/>
    <row r="2710" s="259" customFormat="1"/>
    <row r="2711" s="259" customFormat="1"/>
    <row r="2712" s="259" customFormat="1"/>
    <row r="2713" s="259" customFormat="1"/>
    <row r="2714" s="259" customFormat="1"/>
    <row r="2715" s="259" customFormat="1"/>
    <row r="2716" s="259" customFormat="1"/>
    <row r="2717" s="259" customFormat="1"/>
    <row r="2718" s="259" customFormat="1"/>
    <row r="2719" s="259" customFormat="1"/>
    <row r="2720" s="259" customFormat="1"/>
    <row r="2721" s="259" customFormat="1"/>
    <row r="2722" s="259" customFormat="1"/>
    <row r="2723" s="259" customFormat="1"/>
    <row r="2724" s="259" customFormat="1"/>
    <row r="2725" s="259" customFormat="1"/>
    <row r="2726" s="259" customFormat="1"/>
    <row r="2727" s="259" customFormat="1"/>
    <row r="2728" s="259" customFormat="1"/>
    <row r="2729" s="259" customFormat="1"/>
    <row r="2730" s="259" customFormat="1"/>
    <row r="2731" s="259" customFormat="1"/>
    <row r="2732" s="259" customFormat="1"/>
    <row r="2733" s="259" customFormat="1"/>
    <row r="2734" s="259" customFormat="1"/>
    <row r="2735" s="259" customFormat="1"/>
    <row r="2736" s="259" customFormat="1"/>
    <row r="2737" s="259" customFormat="1"/>
    <row r="2738" s="259" customFormat="1"/>
    <row r="2739" s="259" customFormat="1"/>
    <row r="2740" s="259" customFormat="1"/>
    <row r="2741" s="259" customFormat="1"/>
    <row r="2742" s="259" customFormat="1"/>
    <row r="2743" s="259" customFormat="1"/>
    <row r="2744" s="259" customFormat="1"/>
    <row r="2745" s="259" customFormat="1"/>
    <row r="2746" s="259" customFormat="1"/>
    <row r="2747" s="259" customFormat="1"/>
    <row r="2748" s="259" customFormat="1"/>
    <row r="2749" s="259" customFormat="1"/>
    <row r="2750" s="259" customFormat="1"/>
    <row r="2751" s="259" customFormat="1"/>
    <row r="2752" s="259" customFormat="1"/>
    <row r="2753" s="259" customFormat="1"/>
    <row r="2754" s="259" customFormat="1"/>
    <row r="2755" s="259" customFormat="1"/>
    <row r="2756" s="259" customFormat="1"/>
    <row r="2757" s="259" customFormat="1"/>
    <row r="2758" s="259" customFormat="1"/>
    <row r="2759" s="259" customFormat="1"/>
    <row r="2760" s="259" customFormat="1"/>
    <row r="2761" s="259" customFormat="1"/>
    <row r="2762" s="259" customFormat="1"/>
    <row r="2763" s="259" customFormat="1"/>
    <row r="2764" s="259" customFormat="1"/>
    <row r="2765" s="259" customFormat="1"/>
    <row r="2766" s="259" customFormat="1"/>
    <row r="2767" s="259" customFormat="1"/>
    <row r="2768" s="259" customFormat="1"/>
    <row r="2769" s="259" customFormat="1"/>
    <row r="2770" s="259" customFormat="1"/>
    <row r="2771" s="259" customFormat="1"/>
    <row r="2772" s="259" customFormat="1"/>
    <row r="2773" s="259" customFormat="1"/>
    <row r="2774" s="259" customFormat="1"/>
    <row r="2775" s="259" customFormat="1"/>
    <row r="2776" s="259" customFormat="1"/>
    <row r="2777" s="259" customFormat="1"/>
    <row r="2778" s="259" customFormat="1"/>
    <row r="2779" s="259" customFormat="1"/>
    <row r="2780" s="259" customFormat="1"/>
    <row r="2781" s="259" customFormat="1"/>
    <row r="2782" s="259" customFormat="1"/>
    <row r="2783" s="259" customFormat="1"/>
    <row r="2784" s="259" customFormat="1"/>
    <row r="2785" s="259" customFormat="1"/>
    <row r="2786" s="259" customFormat="1"/>
    <row r="2787" s="259" customFormat="1"/>
    <row r="2788" s="259" customFormat="1"/>
    <row r="2789" s="259" customFormat="1"/>
    <row r="2790" s="259" customFormat="1"/>
    <row r="2791" s="259" customFormat="1"/>
    <row r="2792" s="259" customFormat="1"/>
    <row r="2793" s="259" customFormat="1"/>
    <row r="2794" s="259" customFormat="1"/>
    <row r="2795" s="259" customFormat="1"/>
    <row r="2796" s="259" customFormat="1"/>
    <row r="2797" s="259" customFormat="1"/>
    <row r="2798" s="259" customFormat="1"/>
    <row r="2799" s="259" customFormat="1"/>
    <row r="2800" s="259" customFormat="1"/>
    <row r="2801" s="259" customFormat="1"/>
    <row r="2802" s="259" customFormat="1"/>
    <row r="2803" s="259" customFormat="1"/>
    <row r="2804" s="259" customFormat="1"/>
    <row r="2805" s="259" customFormat="1"/>
    <row r="2806" s="259" customFormat="1"/>
    <row r="2807" s="259" customFormat="1"/>
    <row r="2808" s="259" customFormat="1"/>
    <row r="2809" s="259" customFormat="1"/>
    <row r="2810" s="259" customFormat="1"/>
    <row r="2811" s="259" customFormat="1"/>
    <row r="2812" s="259" customFormat="1"/>
    <row r="2813" s="259" customFormat="1"/>
    <row r="2814" s="259" customFormat="1"/>
    <row r="2815" s="259" customFormat="1"/>
    <row r="2816" s="259" customFormat="1"/>
    <row r="2817" s="259" customFormat="1"/>
    <row r="2818" s="259" customFormat="1"/>
    <row r="2819" s="259" customFormat="1"/>
    <row r="2820" s="259" customFormat="1"/>
    <row r="2821" s="259" customFormat="1"/>
    <row r="2822" s="259" customFormat="1"/>
    <row r="2823" s="259" customFormat="1"/>
    <row r="2824" s="259" customFormat="1"/>
    <row r="2825" s="259" customFormat="1"/>
    <row r="2826" s="259" customFormat="1"/>
    <row r="2827" s="259" customFormat="1"/>
    <row r="2828" s="259" customFormat="1"/>
    <row r="2829" s="259" customFormat="1"/>
    <row r="2830" s="259" customFormat="1"/>
    <row r="2831" s="259" customFormat="1"/>
    <row r="2832" s="259" customFormat="1"/>
    <row r="2833" s="259" customFormat="1"/>
    <row r="2834" s="259" customFormat="1"/>
    <row r="2835" s="259" customFormat="1"/>
    <row r="2836" s="259" customFormat="1"/>
    <row r="2837" s="259" customFormat="1"/>
    <row r="2838" s="259" customFormat="1"/>
    <row r="2839" s="259" customFormat="1"/>
    <row r="2840" s="259" customFormat="1"/>
    <row r="2841" s="259" customFormat="1"/>
    <row r="2842" s="259" customFormat="1"/>
    <row r="2843" s="259" customFormat="1"/>
    <row r="2844" s="259" customFormat="1"/>
    <row r="2845" s="259" customFormat="1"/>
    <row r="2846" s="259" customFormat="1"/>
    <row r="2847" s="259" customFormat="1"/>
    <row r="2848" s="259" customFormat="1"/>
    <row r="2849" s="259" customFormat="1"/>
    <row r="2850" s="259" customFormat="1"/>
    <row r="2851" s="259" customFormat="1"/>
    <row r="2852" s="259" customFormat="1"/>
    <row r="2853" s="259" customFormat="1"/>
    <row r="2854" s="259" customFormat="1"/>
    <row r="2855" s="259" customFormat="1"/>
    <row r="2856" s="259" customFormat="1"/>
    <row r="2857" s="259" customFormat="1"/>
    <row r="2858" s="259" customFormat="1"/>
    <row r="2859" s="259" customFormat="1"/>
    <row r="2860" s="259" customFormat="1"/>
    <row r="2861" s="259" customFormat="1"/>
    <row r="2862" s="259" customFormat="1"/>
    <row r="2863" s="259" customFormat="1"/>
    <row r="2864" s="259" customFormat="1"/>
    <row r="2865" s="259" customFormat="1"/>
    <row r="2866" s="259" customFormat="1"/>
    <row r="2867" s="259" customFormat="1"/>
    <row r="2868" s="259" customFormat="1"/>
    <row r="2869" s="259" customFormat="1"/>
    <row r="2870" s="259" customFormat="1"/>
    <row r="2871" s="259" customFormat="1"/>
    <row r="2872" s="259" customFormat="1"/>
    <row r="2873" s="259" customFormat="1"/>
    <row r="2874" s="259" customFormat="1"/>
    <row r="2875" s="259" customFormat="1"/>
    <row r="2876" s="259" customFormat="1"/>
    <row r="2877" s="259" customFormat="1"/>
    <row r="2878" s="259" customFormat="1"/>
    <row r="2879" s="259" customFormat="1"/>
    <row r="2880" s="259" customFormat="1"/>
    <row r="2881" s="259" customFormat="1"/>
    <row r="2882" s="259" customFormat="1"/>
    <row r="2883" s="259" customFormat="1"/>
    <row r="2884" s="259" customFormat="1"/>
    <row r="2885" s="259" customFormat="1"/>
    <row r="2886" s="259" customFormat="1"/>
    <row r="2887" s="259" customFormat="1"/>
    <row r="2888" s="259" customFormat="1"/>
    <row r="2889" s="259" customFormat="1"/>
    <row r="2890" s="259" customFormat="1"/>
    <row r="2891" s="259" customFormat="1"/>
    <row r="2892" s="259" customFormat="1"/>
    <row r="2893" s="259" customFormat="1"/>
    <row r="2894" s="259" customFormat="1"/>
    <row r="2895" s="259" customFormat="1"/>
    <row r="2896" s="259" customFormat="1"/>
    <row r="2897" s="259" customFormat="1"/>
    <row r="2898" s="259" customFormat="1"/>
    <row r="2899" s="259" customFormat="1"/>
    <row r="2900" s="259" customFormat="1"/>
    <row r="2901" s="259" customFormat="1"/>
    <row r="2902" s="259" customFormat="1"/>
    <row r="2903" s="259" customFormat="1"/>
    <row r="2904" s="259" customFormat="1"/>
    <row r="2905" s="259" customFormat="1"/>
    <row r="2906" s="259" customFormat="1"/>
    <row r="2907" s="259" customFormat="1"/>
    <row r="2908" s="259" customFormat="1"/>
    <row r="2909" s="259" customFormat="1"/>
    <row r="2910" s="259" customFormat="1"/>
    <row r="2911" s="259" customFormat="1"/>
    <row r="2912" s="259" customFormat="1"/>
    <row r="2913" s="259" customFormat="1"/>
    <row r="2914" s="259" customFormat="1"/>
    <row r="2915" s="259" customFormat="1"/>
    <row r="2916" s="259" customFormat="1"/>
    <row r="2917" s="259" customFormat="1"/>
    <row r="2918" s="259" customFormat="1"/>
    <row r="2919" s="259" customFormat="1"/>
    <row r="2920" s="259" customFormat="1"/>
    <row r="2921" s="259" customFormat="1"/>
    <row r="2922" s="259" customFormat="1"/>
    <row r="2923" s="259" customFormat="1"/>
    <row r="2924" s="259" customFormat="1"/>
    <row r="2925" s="259" customFormat="1"/>
    <row r="2926" s="259" customFormat="1"/>
    <row r="2927" s="259" customFormat="1"/>
    <row r="2928" s="259" customFormat="1"/>
    <row r="2929" s="259" customFormat="1"/>
    <row r="2930" s="259" customFormat="1"/>
    <row r="2931" s="259" customFormat="1"/>
    <row r="2932" s="259" customFormat="1"/>
    <row r="2933" s="259" customFormat="1"/>
    <row r="2934" s="259" customFormat="1"/>
    <row r="2935" s="259" customFormat="1"/>
    <row r="2936" s="259" customFormat="1"/>
    <row r="2937" s="259" customFormat="1"/>
    <row r="2938" s="259" customFormat="1"/>
    <row r="2939" s="259" customFormat="1"/>
    <row r="2940" s="259" customFormat="1"/>
    <row r="2941" s="259" customFormat="1"/>
    <row r="2942" s="259" customFormat="1"/>
    <row r="2943" s="259" customFormat="1"/>
    <row r="2944" s="259" customFormat="1"/>
    <row r="2945" s="259" customFormat="1"/>
    <row r="2946" s="259" customFormat="1"/>
    <row r="2947" s="259" customFormat="1"/>
    <row r="2948" s="259" customFormat="1"/>
    <row r="2949" s="259" customFormat="1"/>
    <row r="2950" s="259" customFormat="1"/>
    <row r="2951" s="259" customFormat="1"/>
    <row r="2952" s="259" customFormat="1"/>
    <row r="2953" s="259" customFormat="1"/>
    <row r="2954" s="259" customFormat="1"/>
    <row r="2955" s="259" customFormat="1"/>
    <row r="2956" s="259" customFormat="1"/>
    <row r="2957" s="259" customFormat="1"/>
    <row r="2958" s="259" customFormat="1"/>
    <row r="2959" s="259" customFormat="1"/>
    <row r="2960" s="259" customFormat="1"/>
    <row r="2961" s="259" customFormat="1"/>
    <row r="2962" s="259" customFormat="1"/>
    <row r="2963" s="259" customFormat="1"/>
    <row r="2964" s="259" customFormat="1"/>
    <row r="2965" s="259" customFormat="1"/>
    <row r="2966" s="259" customFormat="1"/>
    <row r="2967" s="259" customFormat="1"/>
    <row r="2968" s="259" customFormat="1"/>
    <row r="2969" s="259" customFormat="1"/>
    <row r="2970" s="259" customFormat="1"/>
    <row r="2971" s="259" customFormat="1"/>
    <row r="2972" s="259" customFormat="1"/>
    <row r="2973" s="259" customFormat="1"/>
    <row r="2974" s="259" customFormat="1"/>
    <row r="2975" s="259" customFormat="1"/>
    <row r="2976" s="259" customFormat="1"/>
    <row r="2977" s="259" customFormat="1"/>
    <row r="2978" s="259" customFormat="1"/>
    <row r="2979" s="259" customFormat="1"/>
    <row r="2980" s="259" customFormat="1"/>
    <row r="2981" s="259" customFormat="1"/>
    <row r="2982" s="259" customFormat="1"/>
    <row r="2983" s="259" customFormat="1"/>
    <row r="2984" s="259" customFormat="1"/>
    <row r="2985" s="259" customFormat="1"/>
    <row r="2986" s="259" customFormat="1"/>
    <row r="2987" s="259" customFormat="1"/>
    <row r="2988" s="259" customFormat="1"/>
    <row r="2989" s="259" customFormat="1"/>
    <row r="2990" s="259" customFormat="1"/>
    <row r="2991" s="259" customFormat="1"/>
    <row r="2992" s="259" customFormat="1"/>
    <row r="2993" s="259" customFormat="1"/>
    <row r="2994" s="259" customFormat="1"/>
    <row r="2995" s="259" customFormat="1"/>
    <row r="2996" s="259" customFormat="1"/>
    <row r="2997" s="259" customFormat="1"/>
    <row r="2998" s="259" customFormat="1"/>
    <row r="2999" s="259" customFormat="1"/>
    <row r="3000" s="259" customFormat="1"/>
    <row r="3001" s="259" customFormat="1"/>
    <row r="3002" s="259" customFormat="1"/>
    <row r="3003" s="259" customFormat="1"/>
    <row r="3004" s="259" customFormat="1"/>
    <row r="3005" s="259" customFormat="1"/>
    <row r="3006" s="259" customFormat="1"/>
    <row r="3007" s="259" customFormat="1"/>
    <row r="3008" s="259" customFormat="1"/>
    <row r="3009" s="259" customFormat="1"/>
    <row r="3010" s="259" customFormat="1"/>
    <row r="3011" s="259" customFormat="1"/>
    <row r="3012" s="259" customFormat="1"/>
    <row r="3013" s="259" customFormat="1"/>
    <row r="3014" s="259" customFormat="1"/>
    <row r="3015" s="259" customFormat="1"/>
    <row r="3016" s="259" customFormat="1"/>
    <row r="3017" s="259" customFormat="1"/>
    <row r="3018" s="259" customFormat="1"/>
    <row r="3019" s="259" customFormat="1"/>
    <row r="3020" s="259" customFormat="1"/>
    <row r="3021" s="259" customFormat="1"/>
    <row r="3022" s="259" customFormat="1"/>
    <row r="3023" s="259" customFormat="1"/>
    <row r="3024" s="259" customFormat="1"/>
    <row r="3025" s="259" customFormat="1"/>
    <row r="3026" s="259" customFormat="1"/>
    <row r="3027" s="259" customFormat="1"/>
    <row r="3028" s="259" customFormat="1"/>
    <row r="3029" s="259" customFormat="1"/>
    <row r="3030" s="259" customFormat="1"/>
    <row r="3031" s="259" customFormat="1"/>
    <row r="3032" s="259" customFormat="1"/>
    <row r="3033" s="259" customFormat="1"/>
    <row r="3034" s="259" customFormat="1"/>
    <row r="3035" s="259" customFormat="1"/>
    <row r="3036" s="259" customFormat="1"/>
    <row r="3037" s="259" customFormat="1"/>
    <row r="3038" s="259" customFormat="1"/>
    <row r="3039" s="259" customFormat="1"/>
    <row r="3040" s="259" customFormat="1"/>
    <row r="3041" s="259" customFormat="1"/>
    <row r="3042" s="259" customFormat="1"/>
    <row r="3043" s="259" customFormat="1"/>
    <row r="3044" s="259" customFormat="1"/>
    <row r="3045" s="259" customFormat="1"/>
    <row r="3046" s="259" customFormat="1"/>
    <row r="3047" s="259" customFormat="1"/>
    <row r="3048" s="259" customFormat="1"/>
    <row r="3049" s="259" customFormat="1"/>
    <row r="3050" s="259" customFormat="1"/>
    <row r="3051" s="259" customFormat="1"/>
    <row r="3052" s="259" customFormat="1"/>
    <row r="3053" s="259" customFormat="1"/>
    <row r="3054" s="259" customFormat="1"/>
    <row r="3055" s="259" customFormat="1"/>
    <row r="3056" s="259" customFormat="1"/>
    <row r="3057" s="259" customFormat="1"/>
    <row r="3058" s="259" customFormat="1"/>
    <row r="3059" s="259" customFormat="1"/>
    <row r="3060" s="259" customFormat="1"/>
    <row r="3061" s="259" customFormat="1"/>
    <row r="3062" s="259" customFormat="1"/>
    <row r="3063" s="259" customFormat="1"/>
    <row r="3064" s="259" customFormat="1"/>
    <row r="3065" s="259" customFormat="1"/>
    <row r="3066" s="259" customFormat="1"/>
    <row r="3067" s="259" customFormat="1"/>
    <row r="3068" s="259" customFormat="1"/>
    <row r="3069" s="259" customFormat="1"/>
    <row r="3070" s="259" customFormat="1"/>
    <row r="3071" s="259" customFormat="1"/>
    <row r="3072" s="259" customFormat="1"/>
    <row r="3073" s="259" customFormat="1"/>
    <row r="3074" s="259" customFormat="1"/>
    <row r="3075" s="259" customFormat="1"/>
    <row r="3076" s="259" customFormat="1"/>
    <row r="3077" s="259" customFormat="1"/>
    <row r="3078" s="259" customFormat="1"/>
    <row r="3079" s="259" customFormat="1"/>
    <row r="3080" s="259" customFormat="1"/>
    <row r="3081" s="259" customFormat="1"/>
    <row r="3082" s="259" customFormat="1"/>
    <row r="3083" s="259" customFormat="1"/>
    <row r="3084" s="259" customFormat="1"/>
    <row r="3085" s="259" customFormat="1"/>
    <row r="3086" s="259" customFormat="1"/>
    <row r="3087" s="259" customFormat="1"/>
    <row r="3088" s="259" customFormat="1"/>
    <row r="3089" s="259" customFormat="1"/>
    <row r="3090" s="259" customFormat="1"/>
    <row r="3091" s="259" customFormat="1"/>
    <row r="3092" s="259" customFormat="1"/>
    <row r="3093" s="259" customFormat="1"/>
    <row r="3094" s="259" customFormat="1"/>
    <row r="3095" s="259" customFormat="1"/>
    <row r="3096" s="259" customFormat="1"/>
    <row r="3097" s="259" customFormat="1"/>
    <row r="3098" s="259" customFormat="1"/>
    <row r="3099" s="259" customFormat="1"/>
    <row r="3100" s="259" customFormat="1"/>
    <row r="3101" s="259" customFormat="1"/>
    <row r="3102" s="259" customFormat="1"/>
    <row r="3103" s="259" customFormat="1"/>
    <row r="3104" s="259" customFormat="1"/>
    <row r="3105" s="259" customFormat="1"/>
    <row r="3106" s="259" customFormat="1"/>
    <row r="3107" s="259" customFormat="1"/>
    <row r="3108" s="259" customFormat="1"/>
    <row r="3109" s="259" customFormat="1"/>
    <row r="3110" s="259" customFormat="1"/>
    <row r="3111" s="259" customFormat="1"/>
    <row r="3112" s="259" customFormat="1"/>
    <row r="3113" s="259" customFormat="1"/>
    <row r="3114" s="259" customFormat="1"/>
    <row r="3115" s="259" customFormat="1"/>
    <row r="3116" s="259" customFormat="1"/>
    <row r="3117" s="259" customFormat="1"/>
    <row r="3118" s="259" customFormat="1"/>
    <row r="3119" s="259" customFormat="1"/>
    <row r="3120" s="259" customFormat="1"/>
    <row r="3121" s="259" customFormat="1"/>
    <row r="3122" s="259" customFormat="1"/>
    <row r="3123" s="259" customFormat="1"/>
    <row r="3124" s="259" customFormat="1"/>
    <row r="3125" s="259" customFormat="1"/>
    <row r="3126" s="259" customFormat="1"/>
    <row r="3127" s="259" customFormat="1"/>
    <row r="3128" s="259" customFormat="1"/>
    <row r="3129" s="259" customFormat="1"/>
    <row r="3130" s="259" customFormat="1"/>
    <row r="3131" s="259" customFormat="1"/>
    <row r="3132" s="259" customFormat="1"/>
    <row r="3133" s="259" customFormat="1"/>
    <row r="3134" s="259" customFormat="1"/>
    <row r="3135" s="259" customFormat="1"/>
    <row r="3136" s="259" customFormat="1"/>
    <row r="3137" s="259" customFormat="1"/>
    <row r="3138" s="259" customFormat="1"/>
    <row r="3139" s="259" customFormat="1"/>
    <row r="3140" s="259" customFormat="1"/>
    <row r="3141" s="259" customFormat="1"/>
    <row r="3142" s="259" customFormat="1"/>
    <row r="3143" s="259" customFormat="1"/>
    <row r="3144" s="259" customFormat="1"/>
    <row r="3145" s="259" customFormat="1"/>
    <row r="3146" s="259" customFormat="1"/>
    <row r="3147" s="259" customFormat="1"/>
    <row r="3148" s="259" customFormat="1"/>
    <row r="3149" s="259" customFormat="1"/>
    <row r="3150" s="259" customFormat="1"/>
    <row r="3151" s="259" customFormat="1"/>
    <row r="3152" s="259" customFormat="1"/>
    <row r="3153" s="259" customFormat="1"/>
    <row r="3154" s="259" customFormat="1"/>
    <row r="3155" s="259" customFormat="1"/>
    <row r="3156" s="259" customFormat="1"/>
    <row r="3157" s="259" customFormat="1"/>
    <row r="3158" s="259" customFormat="1"/>
    <row r="3159" s="259" customFormat="1"/>
    <row r="3160" s="259" customFormat="1"/>
    <row r="3161" s="259" customFormat="1"/>
    <row r="3162" s="259" customFormat="1"/>
    <row r="3163" s="259" customFormat="1"/>
    <row r="3164" s="259" customFormat="1"/>
    <row r="3165" s="259" customFormat="1"/>
    <row r="3166" s="259" customFormat="1"/>
    <row r="3167" s="259" customFormat="1"/>
    <row r="3168" s="259" customFormat="1"/>
    <row r="3169" s="259" customFormat="1"/>
    <row r="3170" s="259" customFormat="1"/>
    <row r="3171" s="259" customFormat="1"/>
    <row r="3172" s="259" customFormat="1"/>
    <row r="3173" s="259" customFormat="1"/>
    <row r="3174" s="259" customFormat="1"/>
    <row r="3175" s="259" customFormat="1"/>
    <row r="3176" s="259" customFormat="1"/>
    <row r="3177" s="259" customFormat="1"/>
    <row r="3178" s="259" customFormat="1"/>
    <row r="3179" s="259" customFormat="1"/>
    <row r="3180" s="259" customFormat="1"/>
    <row r="3181" s="259" customFormat="1"/>
    <row r="3182" s="259" customFormat="1"/>
    <row r="3183" s="259" customFormat="1"/>
    <row r="3184" s="259" customFormat="1"/>
    <row r="3185" s="259" customFormat="1"/>
    <row r="3186" s="259" customFormat="1"/>
    <row r="3187" s="259" customFormat="1"/>
    <row r="3188" s="259" customFormat="1"/>
    <row r="3189" s="259" customFormat="1"/>
    <row r="3190" s="259" customFormat="1"/>
    <row r="3191" s="259" customFormat="1"/>
    <row r="3192" s="259" customFormat="1"/>
    <row r="3193" s="259" customFormat="1"/>
    <row r="3194" s="259" customFormat="1"/>
    <row r="3195" s="259" customFormat="1"/>
    <row r="3196" s="259" customFormat="1"/>
    <row r="3197" s="259" customFormat="1"/>
    <row r="3198" s="259" customFormat="1"/>
    <row r="3199" s="259" customFormat="1"/>
    <row r="3200" s="259" customFormat="1"/>
    <row r="3201" s="259" customFormat="1"/>
    <row r="3202" s="259" customFormat="1"/>
    <row r="3203" s="259" customFormat="1"/>
    <row r="3204" s="259" customFormat="1"/>
    <row r="3205" s="259" customFormat="1"/>
    <row r="3206" s="259" customFormat="1"/>
    <row r="3207" s="259" customFormat="1"/>
    <row r="3208" s="259" customFormat="1"/>
    <row r="3209" s="259" customFormat="1"/>
    <row r="3210" s="259" customFormat="1"/>
    <row r="3211" s="259" customFormat="1"/>
    <row r="3212" s="259" customFormat="1"/>
    <row r="3213" s="259" customFormat="1"/>
    <row r="3214" s="259" customFormat="1"/>
    <row r="3215" s="259" customFormat="1"/>
    <row r="3216" s="259" customFormat="1"/>
    <row r="3217" s="259" customFormat="1"/>
    <row r="3218" s="259" customFormat="1"/>
    <row r="3219" s="259" customFormat="1"/>
    <row r="3220" s="259" customFormat="1"/>
    <row r="3221" s="259" customFormat="1"/>
    <row r="3222" s="259" customFormat="1"/>
    <row r="3223" s="259" customFormat="1"/>
    <row r="3224" s="259" customFormat="1"/>
    <row r="3225" s="259" customFormat="1"/>
    <row r="3226" s="259" customFormat="1"/>
    <row r="3227" s="259" customFormat="1"/>
    <row r="3228" s="259" customFormat="1"/>
    <row r="3229" s="259" customFormat="1"/>
    <row r="3230" s="259" customFormat="1"/>
    <row r="3231" s="259" customFormat="1"/>
    <row r="3232" s="259" customFormat="1"/>
    <row r="3233" s="259" customFormat="1"/>
    <row r="3234" s="259" customFormat="1"/>
    <row r="3235" s="259" customFormat="1"/>
    <row r="3236" s="259" customFormat="1"/>
    <row r="3237" s="259" customFormat="1"/>
    <row r="3238" s="259" customFormat="1"/>
    <row r="3239" s="259" customFormat="1"/>
    <row r="3240" s="259" customFormat="1"/>
    <row r="3241" s="259" customFormat="1"/>
    <row r="3242" s="259" customFormat="1"/>
    <row r="3243" s="259" customFormat="1"/>
    <row r="3244" s="259" customFormat="1"/>
    <row r="3245" s="259" customFormat="1"/>
    <row r="3246" s="259" customFormat="1"/>
    <row r="3247" s="259" customFormat="1"/>
    <row r="3248" s="259" customFormat="1"/>
    <row r="3249" s="259" customFormat="1"/>
    <row r="3250" s="259" customFormat="1"/>
    <row r="3251" s="259" customFormat="1"/>
    <row r="3252" s="259" customFormat="1"/>
    <row r="3253" s="259" customFormat="1"/>
    <row r="3254" s="259" customFormat="1"/>
    <row r="3255" s="259" customFormat="1"/>
    <row r="3256" s="259" customFormat="1"/>
    <row r="3257" s="259" customFormat="1"/>
    <row r="3258" s="259" customFormat="1"/>
    <row r="3259" s="259" customFormat="1"/>
    <row r="3260" s="259" customFormat="1"/>
    <row r="3261" s="259" customFormat="1"/>
    <row r="3262" s="259" customFormat="1"/>
    <row r="3263" s="259" customFormat="1"/>
    <row r="3264" s="259" customFormat="1"/>
    <row r="3265" s="259" customFormat="1"/>
    <row r="3266" s="259" customFormat="1"/>
    <row r="3267" s="259" customFormat="1"/>
    <row r="3268" s="259" customFormat="1"/>
    <row r="3269" s="259" customFormat="1"/>
    <row r="3270" s="259" customFormat="1"/>
    <row r="3271" s="259" customFormat="1"/>
    <row r="3272" s="259" customFormat="1"/>
    <row r="3273" s="259" customFormat="1"/>
    <row r="3274" s="259" customFormat="1"/>
    <row r="3275" s="259" customFormat="1"/>
    <row r="3276" s="259" customFormat="1"/>
    <row r="3277" s="259" customFormat="1"/>
    <row r="3278" s="259" customFormat="1"/>
    <row r="3279" s="259" customFormat="1"/>
    <row r="3280" s="259" customFormat="1"/>
    <row r="3281" s="259" customFormat="1"/>
    <row r="3282" s="259" customFormat="1"/>
    <row r="3283" s="259" customFormat="1"/>
    <row r="3284" s="259" customFormat="1"/>
    <row r="3285" s="259" customFormat="1"/>
    <row r="3286" s="259" customFormat="1"/>
    <row r="3287" s="259" customFormat="1"/>
    <row r="3288" s="259" customFormat="1"/>
    <row r="3289" s="259" customFormat="1"/>
    <row r="3290" s="259" customFormat="1"/>
    <row r="3291" s="259" customFormat="1"/>
    <row r="3292" s="259" customFormat="1"/>
    <row r="3293" s="259" customFormat="1"/>
    <row r="3294" s="259" customFormat="1"/>
    <row r="3295" s="259" customFormat="1"/>
    <row r="3296" s="259" customFormat="1"/>
    <row r="3297" s="259" customFormat="1"/>
    <row r="3298" s="259" customFormat="1"/>
    <row r="3299" s="259" customFormat="1"/>
    <row r="3300" s="259" customFormat="1"/>
    <row r="3301" s="259" customFormat="1"/>
    <row r="3302" s="259" customFormat="1"/>
    <row r="3303" s="259" customFormat="1"/>
    <row r="3304" s="259" customFormat="1"/>
    <row r="3305" s="259" customFormat="1"/>
    <row r="3306" s="259" customFormat="1"/>
    <row r="3307" s="259" customFormat="1"/>
    <row r="3308" s="259" customFormat="1"/>
    <row r="3309" s="259" customFormat="1"/>
    <row r="3310" s="259" customFormat="1"/>
    <row r="3311" s="259" customFormat="1"/>
    <row r="3312" s="259" customFormat="1"/>
    <row r="3313" s="259" customFormat="1"/>
    <row r="3314" s="259" customFormat="1"/>
    <row r="3315" s="259" customFormat="1"/>
    <row r="3316" s="259" customFormat="1"/>
    <row r="3317" s="259" customFormat="1"/>
    <row r="3318" s="259" customFormat="1"/>
    <row r="3319" s="259" customFormat="1"/>
    <row r="3320" s="259" customFormat="1"/>
    <row r="3321" s="259" customFormat="1"/>
    <row r="3322" s="259" customFormat="1"/>
    <row r="3323" s="259" customFormat="1"/>
    <row r="3324" s="259" customFormat="1"/>
    <row r="3325" s="259" customFormat="1"/>
    <row r="3326" s="259" customFormat="1"/>
    <row r="3327" s="259" customFormat="1"/>
    <row r="3328" s="259" customFormat="1"/>
    <row r="3329" s="259" customFormat="1"/>
    <row r="3330" s="259" customFormat="1"/>
    <row r="3331" s="259" customFormat="1"/>
    <row r="3332" s="259" customFormat="1"/>
    <row r="3333" s="259" customFormat="1"/>
    <row r="3334" s="259" customFormat="1"/>
    <row r="3335" s="259" customFormat="1"/>
    <row r="3336" s="259" customFormat="1"/>
    <row r="3337" s="259" customFormat="1"/>
    <row r="3338" s="259" customFormat="1"/>
    <row r="3339" s="259" customFormat="1"/>
    <row r="3340" s="259" customFormat="1"/>
    <row r="3341" s="259" customFormat="1"/>
    <row r="3342" s="259" customFormat="1"/>
    <row r="3343" s="259" customFormat="1"/>
    <row r="3344" s="259" customFormat="1"/>
    <row r="3345" s="259" customFormat="1"/>
    <row r="3346" s="259" customFormat="1"/>
    <row r="3347" s="259" customFormat="1"/>
    <row r="3348" s="259" customFormat="1"/>
    <row r="3349" s="259" customFormat="1"/>
    <row r="3350" s="259" customFormat="1"/>
    <row r="3351" s="259" customFormat="1"/>
    <row r="3352" s="259" customFormat="1"/>
    <row r="3353" s="259" customFormat="1"/>
    <row r="3354" s="259" customFormat="1"/>
    <row r="3355" s="259" customFormat="1"/>
    <row r="3356" s="259" customFormat="1"/>
    <row r="3357" s="259" customFormat="1"/>
    <row r="3358" s="259" customFormat="1"/>
    <row r="3359" s="259" customFormat="1"/>
    <row r="3360" s="259" customFormat="1"/>
    <row r="3361" s="259" customFormat="1"/>
    <row r="3362" s="259" customFormat="1"/>
    <row r="3363" s="259" customFormat="1"/>
    <row r="3364" s="259" customFormat="1"/>
    <row r="3365" s="259" customFormat="1"/>
    <row r="3366" s="259" customFormat="1"/>
    <row r="3367" s="259" customFormat="1"/>
    <row r="3368" s="259" customFormat="1"/>
    <row r="3369" s="259" customFormat="1"/>
    <row r="3370" s="259" customFormat="1"/>
    <row r="3371" s="259" customFormat="1"/>
    <row r="3372" s="259" customFormat="1"/>
    <row r="3373" s="259" customFormat="1"/>
    <row r="3374" s="259" customFormat="1"/>
    <row r="3375" s="259" customFormat="1"/>
    <row r="3376" s="259" customFormat="1"/>
    <row r="3377" s="259" customFormat="1"/>
    <row r="3378" s="259" customFormat="1"/>
    <row r="3379" s="259" customFormat="1"/>
    <row r="3380" s="259" customFormat="1"/>
    <row r="3381" s="259" customFormat="1"/>
    <row r="3382" s="259" customFormat="1"/>
    <row r="3383" s="259" customFormat="1"/>
    <row r="3384" s="259" customFormat="1"/>
    <row r="3385" s="259" customFormat="1"/>
    <row r="3386" s="259" customFormat="1"/>
    <row r="3387" s="259" customFormat="1"/>
    <row r="3388" s="259" customFormat="1"/>
    <row r="3389" s="259" customFormat="1"/>
    <row r="3390" s="259" customFormat="1"/>
    <row r="3391" s="259" customFormat="1"/>
    <row r="3392" s="259" customFormat="1"/>
    <row r="3393" s="259" customFormat="1"/>
    <row r="3394" s="259" customFormat="1"/>
    <row r="3395" s="259" customFormat="1"/>
    <row r="3396" s="259" customFormat="1"/>
    <row r="3397" s="259" customFormat="1"/>
    <row r="3398" s="259" customFormat="1"/>
    <row r="3399" s="259" customFormat="1"/>
    <row r="3400" s="259" customFormat="1"/>
    <row r="3401" s="259" customFormat="1"/>
    <row r="3402" s="259" customFormat="1"/>
    <row r="3403" s="259" customFormat="1"/>
    <row r="3404" s="259" customFormat="1"/>
    <row r="3405" s="259" customFormat="1"/>
    <row r="3406" s="259" customFormat="1"/>
    <row r="3407" s="259" customFormat="1"/>
    <row r="3408" s="259" customFormat="1"/>
    <row r="3409" s="259" customFormat="1"/>
    <row r="3410" s="259" customFormat="1"/>
    <row r="3411" s="259" customFormat="1"/>
    <row r="3412" s="259" customFormat="1"/>
    <row r="3413" s="259" customFormat="1"/>
    <row r="3414" s="259" customFormat="1"/>
    <row r="3415" s="259" customFormat="1"/>
    <row r="3416" s="259" customFormat="1"/>
    <row r="3417" s="259" customFormat="1"/>
    <row r="3418" s="259" customFormat="1"/>
    <row r="3419" s="259" customFormat="1"/>
    <row r="3420" s="259" customFormat="1"/>
    <row r="3421" s="259" customFormat="1"/>
    <row r="3422" s="259" customFormat="1"/>
    <row r="3423" s="259" customFormat="1"/>
    <row r="3424" s="259" customFormat="1"/>
    <row r="3425" s="259" customFormat="1"/>
    <row r="3426" s="259" customFormat="1"/>
    <row r="3427" s="259" customFormat="1"/>
    <row r="3428" s="259" customFormat="1"/>
    <row r="3429" s="259" customFormat="1"/>
    <row r="3430" s="259" customFormat="1"/>
    <row r="3431" s="259" customFormat="1"/>
    <row r="3432" s="259" customFormat="1"/>
    <row r="3433" s="259" customFormat="1"/>
    <row r="3434" s="259" customFormat="1"/>
    <row r="3435" s="259" customFormat="1"/>
    <row r="3436" s="259" customFormat="1"/>
    <row r="3437" s="259" customFormat="1"/>
    <row r="3438" s="259" customFormat="1"/>
    <row r="3439" s="259" customFormat="1"/>
    <row r="3440" s="259" customFormat="1"/>
    <row r="3441" s="259" customFormat="1"/>
    <row r="3442" s="259" customFormat="1"/>
    <row r="3443" s="259" customFormat="1"/>
    <row r="3444" s="259" customFormat="1"/>
    <row r="3445" s="259" customFormat="1"/>
    <row r="3446" s="259" customFormat="1"/>
    <row r="3447" s="259" customFormat="1"/>
    <row r="3448" s="259" customFormat="1"/>
    <row r="3449" s="259" customFormat="1"/>
    <row r="3450" s="259" customFormat="1"/>
    <row r="3451" s="259" customFormat="1"/>
    <row r="3452" s="259" customFormat="1"/>
    <row r="3453" s="259" customFormat="1"/>
    <row r="3454" s="259" customFormat="1"/>
    <row r="3455" s="259" customFormat="1"/>
    <row r="3456" s="259" customFormat="1"/>
    <row r="3457" s="259" customFormat="1"/>
    <row r="3458" s="259" customFormat="1"/>
    <row r="3459" s="259" customFormat="1"/>
    <row r="3460" s="259" customFormat="1"/>
    <row r="3461" s="259" customFormat="1"/>
    <row r="3462" s="259" customFormat="1"/>
    <row r="3463" s="259" customFormat="1"/>
    <row r="3464" s="259" customFormat="1"/>
    <row r="3465" s="259" customFormat="1"/>
    <row r="3466" s="259" customFormat="1"/>
    <row r="3467" s="259" customFormat="1"/>
    <row r="3468" s="259" customFormat="1"/>
    <row r="3469" s="259" customFormat="1"/>
    <row r="3470" s="259" customFormat="1"/>
    <row r="3471" s="259" customFormat="1"/>
    <row r="3472" s="259" customFormat="1"/>
    <row r="3473" s="259" customFormat="1"/>
    <row r="3474" s="259" customFormat="1"/>
    <row r="3475" s="259" customFormat="1"/>
    <row r="3476" s="259" customFormat="1"/>
    <row r="3477" s="259" customFormat="1"/>
    <row r="3478" s="259" customFormat="1"/>
    <row r="3479" s="259" customFormat="1"/>
    <row r="3480" s="259" customFormat="1"/>
    <row r="3481" s="259" customFormat="1"/>
    <row r="3482" s="259" customFormat="1"/>
    <row r="3483" s="259" customFormat="1"/>
    <row r="3484" s="259" customFormat="1"/>
    <row r="3485" s="259" customFormat="1"/>
    <row r="3486" s="259" customFormat="1"/>
    <row r="3487" s="259" customFormat="1"/>
    <row r="3488" s="259" customFormat="1"/>
    <row r="3489" s="259" customFormat="1"/>
    <row r="3490" s="259" customFormat="1"/>
    <row r="3491" s="259" customFormat="1"/>
    <row r="3492" s="259" customFormat="1"/>
    <row r="3493" s="259" customFormat="1"/>
    <row r="3494" s="259" customFormat="1"/>
    <row r="3495" s="259" customFormat="1"/>
    <row r="3496" s="259" customFormat="1"/>
    <row r="3497" s="259" customFormat="1"/>
    <row r="3498" s="259" customFormat="1"/>
    <row r="3499" s="259" customFormat="1"/>
    <row r="3500" s="259" customFormat="1"/>
    <row r="3501" s="259" customFormat="1"/>
    <row r="3502" s="259" customFormat="1"/>
    <row r="3503" s="259" customFormat="1"/>
    <row r="3504" s="259" customFormat="1"/>
    <row r="3505" s="259" customFormat="1"/>
    <row r="3506" s="259" customFormat="1"/>
    <row r="3507" s="259" customFormat="1"/>
    <row r="3508" s="259" customFormat="1"/>
    <row r="3509" s="259" customFormat="1"/>
    <row r="3510" s="259" customFormat="1"/>
    <row r="3511" s="259" customFormat="1"/>
    <row r="3512" s="259" customFormat="1"/>
    <row r="3513" s="259" customFormat="1"/>
    <row r="3514" s="259" customFormat="1"/>
    <row r="3515" s="259" customFormat="1"/>
    <row r="3516" s="259" customFormat="1"/>
    <row r="3517" s="259" customFormat="1"/>
    <row r="3518" s="259" customFormat="1"/>
    <row r="3519" s="259" customFormat="1"/>
    <row r="3520" s="259" customFormat="1"/>
    <row r="3521" s="259" customFormat="1"/>
    <row r="3522" s="259" customFormat="1"/>
    <row r="3523" s="259" customFormat="1"/>
    <row r="3524" s="259" customFormat="1"/>
    <row r="3525" s="259" customFormat="1"/>
    <row r="3526" s="259" customFormat="1"/>
    <row r="3527" s="259" customFormat="1"/>
    <row r="3528" s="259" customFormat="1"/>
    <row r="3529" s="259" customFormat="1"/>
    <row r="3530" s="259" customFormat="1"/>
    <row r="3531" s="259" customFormat="1"/>
    <row r="3532" s="259" customFormat="1"/>
    <row r="3533" s="259" customFormat="1"/>
    <row r="3534" s="259" customFormat="1"/>
    <row r="3535" s="259" customFormat="1"/>
    <row r="3536" s="259" customFormat="1"/>
    <row r="3537" s="259" customFormat="1"/>
    <row r="3538" s="259" customFormat="1"/>
    <row r="3539" s="259" customFormat="1"/>
    <row r="3540" s="259" customFormat="1"/>
    <row r="3541" s="259" customFormat="1"/>
    <row r="3542" s="259" customFormat="1"/>
    <row r="3543" s="259" customFormat="1"/>
    <row r="3544" s="259" customFormat="1"/>
    <row r="3545" s="259" customFormat="1"/>
    <row r="3546" s="259" customFormat="1"/>
    <row r="3547" s="259" customFormat="1"/>
    <row r="3548" s="259" customFormat="1"/>
    <row r="3549" s="259" customFormat="1"/>
    <row r="3550" s="259" customFormat="1"/>
    <row r="3551" s="259" customFormat="1"/>
    <row r="3552" s="259" customFormat="1"/>
    <row r="3553" s="259" customFormat="1"/>
    <row r="3554" s="259" customFormat="1"/>
    <row r="3555" s="259" customFormat="1"/>
    <row r="3556" s="259" customFormat="1"/>
    <row r="3557" s="259" customFormat="1"/>
    <row r="3558" s="259" customFormat="1"/>
    <row r="3559" s="259" customFormat="1"/>
    <row r="3560" s="259" customFormat="1"/>
    <row r="3561" s="259" customFormat="1"/>
    <row r="3562" s="259" customFormat="1"/>
    <row r="3563" s="259" customFormat="1"/>
    <row r="3564" s="259" customFormat="1"/>
    <row r="3565" s="259" customFormat="1"/>
    <row r="3566" s="259" customFormat="1"/>
    <row r="3567" s="259" customFormat="1"/>
    <row r="3568" s="259" customFormat="1"/>
    <row r="3569" s="259" customFormat="1"/>
    <row r="3570" s="259" customFormat="1"/>
    <row r="3571" s="259" customFormat="1"/>
    <row r="3572" s="259" customFormat="1"/>
    <row r="3573" s="259" customFormat="1"/>
    <row r="3574" s="259" customFormat="1"/>
    <row r="3575" s="259" customFormat="1"/>
    <row r="3576" s="259" customFormat="1"/>
    <row r="3577" s="259" customFormat="1"/>
    <row r="3578" s="259" customFormat="1"/>
    <row r="3579" s="259" customFormat="1"/>
    <row r="3580" s="259" customFormat="1"/>
    <row r="3581" s="259" customFormat="1"/>
    <row r="3582" s="259" customFormat="1"/>
    <row r="3583" s="259" customFormat="1"/>
    <row r="3584" s="259" customFormat="1"/>
    <row r="3585" s="259" customFormat="1"/>
    <row r="3586" s="259" customFormat="1"/>
    <row r="3587" s="259" customFormat="1"/>
    <row r="3588" s="259" customFormat="1"/>
    <row r="3589" s="259" customFormat="1"/>
    <row r="3590" s="259" customFormat="1"/>
    <row r="3591" s="259" customFormat="1"/>
    <row r="3592" s="259" customFormat="1"/>
    <row r="3593" s="259" customFormat="1"/>
    <row r="3594" s="259" customFormat="1"/>
    <row r="3595" s="259" customFormat="1"/>
    <row r="3596" s="259" customFormat="1"/>
    <row r="3597" s="259" customFormat="1"/>
    <row r="3598" s="259" customFormat="1"/>
    <row r="3599" s="259" customFormat="1"/>
    <row r="3600" s="259" customFormat="1"/>
    <row r="3601" s="259" customFormat="1"/>
    <row r="3602" s="259" customFormat="1"/>
    <row r="3603" s="259" customFormat="1"/>
    <row r="3604" s="259" customFormat="1"/>
    <row r="3605" s="259" customFormat="1"/>
    <row r="3606" s="259" customFormat="1"/>
    <row r="3607" s="259" customFormat="1"/>
    <row r="3608" s="259" customFormat="1"/>
    <row r="3609" s="259" customFormat="1"/>
    <row r="3610" s="259" customFormat="1"/>
    <row r="3611" s="259" customFormat="1"/>
    <row r="3612" s="259" customFormat="1"/>
    <row r="3613" s="259" customFormat="1"/>
    <row r="3614" s="259" customFormat="1"/>
    <row r="3615" s="259" customFormat="1"/>
    <row r="3616" s="259" customFormat="1"/>
    <row r="3617" s="259" customFormat="1"/>
    <row r="3618" s="259" customFormat="1"/>
    <row r="3619" s="259" customFormat="1"/>
    <row r="3620" s="259" customFormat="1"/>
    <row r="3621" s="259" customFormat="1"/>
    <row r="3622" s="259" customFormat="1"/>
    <row r="3623" s="259" customFormat="1"/>
    <row r="3624" s="259" customFormat="1"/>
    <row r="3625" s="259" customFormat="1"/>
    <row r="3626" s="259" customFormat="1"/>
    <row r="3627" s="259" customFormat="1"/>
    <row r="3628" s="259" customFormat="1"/>
    <row r="3629" s="259" customFormat="1"/>
    <row r="3630" s="259" customFormat="1"/>
    <row r="3631" s="259" customFormat="1"/>
    <row r="3632" s="259" customFormat="1"/>
    <row r="3633" s="259" customFormat="1"/>
    <row r="3634" s="259" customFormat="1"/>
    <row r="3635" s="259" customFormat="1"/>
    <row r="3636" s="259" customFormat="1"/>
    <row r="3637" s="259" customFormat="1"/>
    <row r="3638" s="259" customFormat="1"/>
    <row r="3639" s="259" customFormat="1"/>
    <row r="3640" s="259" customFormat="1"/>
    <row r="3641" s="259" customFormat="1"/>
    <row r="3642" s="259" customFormat="1"/>
    <row r="3643" s="259" customFormat="1"/>
    <row r="3644" s="259" customFormat="1"/>
    <row r="3645" s="259" customFormat="1"/>
    <row r="3646" s="259" customFormat="1"/>
    <row r="3647" s="259" customFormat="1"/>
    <row r="3648" s="259" customFormat="1"/>
    <row r="3649" s="259" customFormat="1"/>
    <row r="3650" s="259" customFormat="1"/>
    <row r="3651" s="259" customFormat="1"/>
    <row r="3652" s="259" customFormat="1"/>
    <row r="3653" s="259" customFormat="1"/>
    <row r="3654" s="259" customFormat="1"/>
    <row r="3655" s="259" customFormat="1"/>
    <row r="3656" s="259" customFormat="1"/>
    <row r="3657" s="259" customFormat="1"/>
    <row r="3658" s="259" customFormat="1"/>
    <row r="3659" s="259" customFormat="1"/>
    <row r="3660" s="259" customFormat="1"/>
    <row r="3661" s="259" customFormat="1"/>
    <row r="3662" s="259" customFormat="1"/>
    <row r="3663" s="259" customFormat="1"/>
    <row r="3664" s="259" customFormat="1"/>
    <row r="3665" s="259" customFormat="1"/>
    <row r="3666" s="259" customFormat="1"/>
    <row r="3667" s="259" customFormat="1"/>
    <row r="3668" s="259" customFormat="1"/>
    <row r="3669" s="259" customFormat="1"/>
    <row r="3670" s="259" customFormat="1"/>
    <row r="3671" s="259" customFormat="1"/>
    <row r="3672" s="259" customFormat="1"/>
    <row r="3673" s="259" customFormat="1"/>
    <row r="3674" s="259" customFormat="1"/>
    <row r="3675" s="259" customFormat="1"/>
    <row r="3676" s="259" customFormat="1"/>
    <row r="3677" s="259" customFormat="1"/>
    <row r="3678" s="259" customFormat="1"/>
    <row r="3679" s="259" customFormat="1"/>
    <row r="3680" s="259" customFormat="1"/>
    <row r="3681" s="259" customFormat="1"/>
    <row r="3682" s="259" customFormat="1"/>
    <row r="3683" s="259" customFormat="1"/>
    <row r="3684" s="259" customFormat="1"/>
    <row r="3685" s="259" customFormat="1"/>
    <row r="3686" s="259" customFormat="1"/>
    <row r="3687" s="259" customFormat="1"/>
    <row r="3688" s="259" customFormat="1"/>
    <row r="3689" s="259" customFormat="1"/>
    <row r="3690" s="259" customFormat="1"/>
    <row r="3691" s="259" customFormat="1"/>
    <row r="3692" s="259" customFormat="1"/>
    <row r="3693" s="259" customFormat="1"/>
    <row r="3694" s="259" customFormat="1"/>
    <row r="3695" s="259" customFormat="1"/>
    <row r="3696" s="259" customFormat="1"/>
    <row r="3697" s="259" customFormat="1"/>
    <row r="3698" s="259" customFormat="1"/>
    <row r="3699" s="259" customFormat="1"/>
    <row r="3700" s="259" customFormat="1"/>
    <row r="3701" s="259" customFormat="1"/>
    <row r="3702" s="259" customFormat="1"/>
    <row r="3703" s="259" customFormat="1"/>
    <row r="3704" s="259" customFormat="1"/>
    <row r="3705" s="259" customFormat="1"/>
    <row r="3706" s="259" customFormat="1"/>
    <row r="3707" s="259" customFormat="1"/>
    <row r="3708" s="259" customFormat="1"/>
    <row r="3709" s="259" customFormat="1"/>
    <row r="3710" s="259" customFormat="1"/>
    <row r="3711" s="259" customFormat="1"/>
    <row r="3712" s="259" customFormat="1"/>
    <row r="3713" s="259" customFormat="1"/>
    <row r="3714" s="259" customFormat="1"/>
    <row r="3715" s="259" customFormat="1"/>
    <row r="3716" s="259" customFormat="1"/>
    <row r="3717" s="259" customFormat="1"/>
    <row r="3718" s="259" customFormat="1"/>
    <row r="3719" s="259" customFormat="1"/>
    <row r="3720" s="259" customFormat="1"/>
    <row r="3721" s="259" customFormat="1"/>
    <row r="3722" s="259" customFormat="1"/>
    <row r="3723" s="259" customFormat="1"/>
    <row r="3724" s="259" customFormat="1"/>
    <row r="3725" s="259" customFormat="1"/>
    <row r="3726" s="259" customFormat="1"/>
    <row r="3727" s="259" customFormat="1"/>
    <row r="3728" s="259" customFormat="1"/>
    <row r="3729" s="259" customFormat="1"/>
    <row r="3730" s="259" customFormat="1"/>
    <row r="3731" s="259" customFormat="1"/>
    <row r="3732" s="259" customFormat="1"/>
    <row r="3733" s="259" customFormat="1"/>
    <row r="3734" s="259" customFormat="1"/>
    <row r="3735" s="259" customFormat="1"/>
    <row r="3736" s="259" customFormat="1"/>
    <row r="3737" s="259" customFormat="1"/>
    <row r="3738" s="259" customFormat="1"/>
    <row r="3739" s="259" customFormat="1"/>
    <row r="3740" s="259" customFormat="1"/>
    <row r="3741" s="259" customFormat="1"/>
    <row r="3742" s="259" customFormat="1"/>
    <row r="3743" s="259" customFormat="1"/>
    <row r="3744" s="259" customFormat="1"/>
    <row r="3745" s="259" customFormat="1"/>
    <row r="3746" s="259" customFormat="1"/>
    <row r="3747" s="259" customFormat="1"/>
    <row r="3748" s="259" customFormat="1"/>
    <row r="3749" s="259" customFormat="1"/>
    <row r="3750" s="259" customFormat="1"/>
    <row r="3751" s="259" customFormat="1"/>
    <row r="3752" s="259" customFormat="1"/>
    <row r="3753" s="259" customFormat="1"/>
    <row r="3754" s="259" customFormat="1"/>
    <row r="3755" s="259" customFormat="1"/>
    <row r="3756" s="259" customFormat="1"/>
    <row r="3757" s="259" customFormat="1"/>
    <row r="3758" s="259" customFormat="1"/>
    <row r="3759" s="259" customFormat="1"/>
    <row r="3760" s="259" customFormat="1"/>
    <row r="3761" s="259" customFormat="1"/>
    <row r="3762" s="259" customFormat="1"/>
    <row r="3763" s="259" customFormat="1"/>
    <row r="3764" s="259" customFormat="1"/>
    <row r="3765" s="259" customFormat="1"/>
    <row r="3766" s="259" customFormat="1"/>
    <row r="3767" s="259" customFormat="1"/>
    <row r="3768" s="259" customFormat="1"/>
    <row r="3769" s="259" customFormat="1"/>
    <row r="3770" s="259" customFormat="1"/>
    <row r="3771" s="259" customFormat="1"/>
    <row r="3772" s="259" customFormat="1"/>
    <row r="3773" s="259" customFormat="1"/>
    <row r="3774" s="259" customFormat="1"/>
    <row r="3775" s="259" customFormat="1"/>
    <row r="3776" s="259" customFormat="1"/>
    <row r="3777" s="259" customFormat="1"/>
    <row r="3778" s="259" customFormat="1"/>
    <row r="3779" s="259" customFormat="1"/>
    <row r="3780" s="259" customFormat="1"/>
    <row r="3781" s="259" customFormat="1"/>
    <row r="3782" s="259" customFormat="1"/>
    <row r="3783" s="259" customFormat="1"/>
    <row r="3784" s="259" customFormat="1"/>
    <row r="3785" s="259" customFormat="1"/>
    <row r="3786" s="259" customFormat="1"/>
    <row r="3787" s="259" customFormat="1"/>
    <row r="3788" s="259" customFormat="1"/>
    <row r="3789" s="259" customFormat="1"/>
    <row r="3790" s="259" customFormat="1"/>
    <row r="3791" s="259" customFormat="1"/>
    <row r="3792" s="259" customFormat="1"/>
    <row r="3793" s="259" customFormat="1"/>
    <row r="3794" s="259" customFormat="1"/>
    <row r="3795" s="259" customFormat="1"/>
    <row r="3796" s="259" customFormat="1"/>
    <row r="3797" s="259" customFormat="1"/>
    <row r="3798" s="259" customFormat="1"/>
    <row r="3799" s="259" customFormat="1"/>
    <row r="3800" s="259" customFormat="1"/>
    <row r="3801" s="259" customFormat="1"/>
    <row r="3802" s="259" customFormat="1"/>
    <row r="3803" s="259" customFormat="1"/>
    <row r="3804" s="259" customFormat="1"/>
    <row r="3805" s="259" customFormat="1"/>
    <row r="3806" s="259" customFormat="1"/>
    <row r="3807" s="259" customFormat="1"/>
    <row r="3808" s="259" customFormat="1"/>
    <row r="3809" s="259" customFormat="1"/>
    <row r="3810" s="259" customFormat="1"/>
    <row r="3811" s="259" customFormat="1"/>
    <row r="3812" s="259" customFormat="1"/>
    <row r="3813" s="259" customFormat="1"/>
    <row r="3814" s="259" customFormat="1"/>
    <row r="3815" s="259" customFormat="1"/>
    <row r="3816" s="259" customFormat="1"/>
    <row r="3817" s="259" customFormat="1"/>
    <row r="3818" s="259" customFormat="1"/>
    <row r="3819" s="259" customFormat="1"/>
    <row r="3820" s="259" customFormat="1"/>
    <row r="3821" s="259" customFormat="1"/>
    <row r="3822" s="259" customFormat="1"/>
    <row r="3823" s="259" customFormat="1"/>
    <row r="3824" s="259" customFormat="1"/>
    <row r="3825" s="259" customFormat="1"/>
    <row r="3826" s="259" customFormat="1"/>
    <row r="3827" s="259" customFormat="1"/>
    <row r="3828" s="259" customFormat="1"/>
    <row r="3829" s="259" customFormat="1"/>
    <row r="3830" s="259" customFormat="1"/>
    <row r="3831" s="259" customFormat="1"/>
    <row r="3832" s="259" customFormat="1"/>
    <row r="3833" s="259" customFormat="1"/>
    <row r="3834" s="259" customFormat="1"/>
    <row r="3835" s="259" customFormat="1"/>
    <row r="3836" s="259" customFormat="1"/>
    <row r="3837" s="259" customFormat="1"/>
    <row r="3838" s="259" customFormat="1"/>
    <row r="3839" s="259" customFormat="1"/>
    <row r="3840" s="259" customFormat="1"/>
    <row r="3841" s="259" customFormat="1"/>
    <row r="3842" s="259" customFormat="1"/>
    <row r="3843" s="259" customFormat="1"/>
    <row r="3844" s="259" customFormat="1"/>
    <row r="3845" s="259" customFormat="1"/>
    <row r="3846" s="259" customFormat="1"/>
    <row r="3847" s="259" customFormat="1"/>
    <row r="3848" s="259" customFormat="1"/>
    <row r="3849" s="259" customFormat="1"/>
    <row r="3850" s="259" customFormat="1"/>
    <row r="3851" s="259" customFormat="1"/>
    <row r="3852" s="259" customFormat="1"/>
    <row r="3853" s="259" customFormat="1"/>
    <row r="3854" s="259" customFormat="1"/>
    <row r="3855" s="259" customFormat="1"/>
    <row r="3856" s="259" customFormat="1"/>
    <row r="3857" s="259" customFormat="1"/>
    <row r="3858" s="259" customFormat="1"/>
    <row r="3859" s="259" customFormat="1"/>
    <row r="3860" s="259" customFormat="1"/>
    <row r="3861" s="259" customFormat="1"/>
    <row r="3862" s="259" customFormat="1"/>
    <row r="3863" s="259" customFormat="1"/>
    <row r="3864" s="259" customFormat="1"/>
    <row r="3865" s="259" customFormat="1"/>
    <row r="3866" s="259" customFormat="1"/>
    <row r="3867" s="259" customFormat="1"/>
    <row r="3868" s="259" customFormat="1"/>
    <row r="3869" s="259" customFormat="1"/>
    <row r="3870" s="259" customFormat="1"/>
    <row r="3871" s="259" customFormat="1"/>
    <row r="3872" s="259" customFormat="1"/>
    <row r="3873" s="259" customFormat="1"/>
    <row r="3874" s="259" customFormat="1"/>
    <row r="3875" s="259" customFormat="1"/>
    <row r="3876" s="259" customFormat="1"/>
    <row r="3877" s="259" customFormat="1"/>
    <row r="3878" s="259" customFormat="1"/>
    <row r="3879" s="259" customFormat="1"/>
    <row r="3880" s="259" customFormat="1"/>
    <row r="3881" s="259" customFormat="1"/>
    <row r="3882" s="259" customFormat="1"/>
    <row r="3883" s="259" customFormat="1"/>
    <row r="3884" s="259" customFormat="1"/>
    <row r="3885" s="259" customFormat="1"/>
    <row r="3886" s="259" customFormat="1"/>
    <row r="3887" s="259" customFormat="1"/>
    <row r="3888" s="259" customFormat="1"/>
    <row r="3889" s="259" customFormat="1"/>
    <row r="3890" s="259" customFormat="1"/>
    <row r="3891" s="259" customFormat="1"/>
    <row r="3892" s="259" customFormat="1"/>
    <row r="3893" s="259" customFormat="1"/>
    <row r="3894" s="259" customFormat="1"/>
    <row r="3895" s="259" customFormat="1"/>
    <row r="3896" s="259" customFormat="1"/>
    <row r="3897" s="259" customFormat="1"/>
    <row r="3898" s="259" customFormat="1"/>
    <row r="3899" s="259" customFormat="1"/>
    <row r="3900" s="259" customFormat="1"/>
    <row r="3901" s="259" customFormat="1"/>
    <row r="3902" s="259" customFormat="1"/>
    <row r="3903" s="259" customFormat="1"/>
    <row r="3904" s="259" customFormat="1"/>
    <row r="3905" s="259" customFormat="1"/>
    <row r="3906" s="259" customFormat="1"/>
    <row r="3907" s="259" customFormat="1"/>
    <row r="3908" s="259" customFormat="1"/>
    <row r="3909" s="259" customFormat="1"/>
    <row r="3910" s="259" customFormat="1"/>
    <row r="3911" s="259" customFormat="1"/>
    <row r="3912" s="259" customFormat="1"/>
    <row r="3913" s="259" customFormat="1"/>
    <row r="3914" s="259" customFormat="1"/>
    <row r="3915" s="259" customFormat="1"/>
    <row r="3916" s="259" customFormat="1"/>
    <row r="3917" s="259" customFormat="1"/>
    <row r="3918" s="259" customFormat="1"/>
    <row r="3919" s="259" customFormat="1"/>
    <row r="3920" s="259" customFormat="1"/>
    <row r="3921" s="259" customFormat="1"/>
    <row r="3922" s="259" customFormat="1"/>
    <row r="3923" s="259" customFormat="1"/>
    <row r="3924" s="259" customFormat="1"/>
    <row r="3925" s="259" customFormat="1"/>
    <row r="3926" s="259" customFormat="1"/>
    <row r="3927" s="259" customFormat="1"/>
    <row r="3928" s="259" customFormat="1"/>
    <row r="3929" s="259" customFormat="1"/>
    <row r="3930" s="259" customFormat="1"/>
    <row r="3931" s="259" customFormat="1"/>
    <row r="3932" s="259" customFormat="1"/>
    <row r="3933" s="259" customFormat="1"/>
    <row r="3934" s="259" customFormat="1"/>
    <row r="3935" s="259" customFormat="1"/>
    <row r="3936" s="259" customFormat="1"/>
    <row r="3937" s="259" customFormat="1"/>
    <row r="3938" s="259" customFormat="1"/>
    <row r="3939" s="259" customFormat="1"/>
    <row r="3940" s="259" customFormat="1"/>
    <row r="3941" s="259" customFormat="1"/>
    <row r="3942" s="259" customFormat="1"/>
    <row r="3943" s="259" customFormat="1"/>
    <row r="3944" s="259" customFormat="1"/>
    <row r="3945" s="259" customFormat="1"/>
    <row r="3946" s="259" customFormat="1"/>
    <row r="3947" s="259" customFormat="1"/>
    <row r="3948" s="259" customFormat="1"/>
    <row r="3949" s="259" customFormat="1"/>
    <row r="3950" s="259" customFormat="1"/>
    <row r="3951" s="259" customFormat="1"/>
    <row r="3952" s="259" customFormat="1"/>
    <row r="3953" s="259" customFormat="1"/>
    <row r="3954" s="259" customFormat="1"/>
    <row r="3955" s="259" customFormat="1"/>
    <row r="3956" s="259" customFormat="1"/>
    <row r="3957" s="259" customFormat="1"/>
    <row r="3958" s="259" customFormat="1"/>
    <row r="3959" s="259" customFormat="1"/>
    <row r="3960" s="259" customFormat="1"/>
    <row r="3961" s="259" customFormat="1"/>
    <row r="3962" s="259" customFormat="1"/>
    <row r="3963" s="259" customFormat="1"/>
    <row r="3964" s="259" customFormat="1"/>
    <row r="3965" s="259" customFormat="1"/>
    <row r="3966" s="259" customFormat="1"/>
    <row r="3967" s="259" customFormat="1"/>
    <row r="3968" s="259" customFormat="1"/>
    <row r="3969" s="259" customFormat="1"/>
    <row r="3970" s="259" customFormat="1"/>
    <row r="3971" s="259" customFormat="1"/>
    <row r="3972" s="259" customFormat="1"/>
    <row r="3973" s="259" customFormat="1"/>
    <row r="3974" s="259" customFormat="1"/>
    <row r="3975" s="259" customFormat="1"/>
    <row r="3976" s="259" customFormat="1"/>
    <row r="3977" s="259" customFormat="1"/>
    <row r="3978" s="259" customFormat="1"/>
    <row r="3979" s="259" customFormat="1"/>
    <row r="3980" s="259" customFormat="1"/>
    <row r="3981" s="259" customFormat="1"/>
    <row r="3982" s="259" customFormat="1"/>
    <row r="3983" s="259" customFormat="1"/>
    <row r="3984" s="259" customFormat="1"/>
    <row r="3985" s="259" customFormat="1"/>
    <row r="3986" s="259" customFormat="1"/>
    <row r="3987" s="259" customFormat="1"/>
    <row r="3988" s="259" customFormat="1"/>
    <row r="3989" s="259" customFormat="1"/>
    <row r="3990" s="259" customFormat="1"/>
    <row r="3991" s="259" customFormat="1"/>
    <row r="3992" s="259" customFormat="1"/>
    <row r="3993" s="259" customFormat="1"/>
    <row r="3994" s="259" customFormat="1"/>
    <row r="3995" s="259" customFormat="1"/>
    <row r="3996" s="259" customFormat="1"/>
    <row r="3997" s="259" customFormat="1"/>
    <row r="3998" s="259" customFormat="1"/>
    <row r="3999" s="259" customFormat="1"/>
    <row r="4000" s="259" customFormat="1"/>
    <row r="4001" s="259" customFormat="1"/>
    <row r="4002" s="259" customFormat="1"/>
    <row r="4003" s="259" customFormat="1"/>
    <row r="4004" s="259" customFormat="1"/>
    <row r="4005" s="259" customFormat="1"/>
    <row r="4006" s="259" customFormat="1"/>
    <row r="4007" s="259" customFormat="1"/>
    <row r="4008" s="259" customFormat="1"/>
    <row r="4009" s="259" customFormat="1"/>
    <row r="4010" s="259" customFormat="1"/>
    <row r="4011" s="259" customFormat="1"/>
    <row r="4012" s="259" customFormat="1"/>
    <row r="4013" s="259" customFormat="1"/>
    <row r="4014" s="259" customFormat="1"/>
    <row r="4015" s="259" customFormat="1"/>
    <row r="4016" s="259" customFormat="1"/>
    <row r="4017" s="259" customFormat="1"/>
    <row r="4018" s="259" customFormat="1"/>
    <row r="4019" s="259" customFormat="1"/>
    <row r="4020" s="259" customFormat="1"/>
    <row r="4021" s="259" customFormat="1"/>
    <row r="4022" s="259" customFormat="1"/>
    <row r="4023" s="259" customFormat="1"/>
    <row r="4024" s="259" customFormat="1"/>
    <row r="4025" s="259" customFormat="1"/>
    <row r="4026" s="259" customFormat="1"/>
    <row r="4027" s="259" customFormat="1"/>
    <row r="4028" s="259" customFormat="1"/>
    <row r="4029" s="259" customFormat="1"/>
    <row r="4030" s="259" customFormat="1"/>
    <row r="4031" s="259" customFormat="1"/>
    <row r="4032" s="259" customFormat="1"/>
    <row r="4033" s="259" customFormat="1"/>
    <row r="4034" s="259" customFormat="1"/>
    <row r="4035" s="259" customFormat="1"/>
    <row r="4036" s="259" customFormat="1"/>
    <row r="4037" s="259" customFormat="1"/>
    <row r="4038" s="259" customFormat="1"/>
    <row r="4039" s="259" customFormat="1"/>
    <row r="4040" s="259" customFormat="1"/>
    <row r="4041" s="259" customFormat="1"/>
    <row r="4042" s="259" customFormat="1"/>
    <row r="4043" s="259" customFormat="1"/>
    <row r="4044" s="259" customFormat="1"/>
    <row r="4045" s="259" customFormat="1"/>
    <row r="4046" s="259" customFormat="1"/>
    <row r="4047" s="259" customFormat="1"/>
    <row r="4048" s="259" customFormat="1"/>
    <row r="4049" s="259" customFormat="1"/>
    <row r="4050" s="259" customFormat="1"/>
    <row r="4051" s="259" customFormat="1"/>
    <row r="4052" s="259" customFormat="1"/>
    <row r="4053" s="259" customFormat="1"/>
    <row r="4054" s="259" customFormat="1"/>
    <row r="4055" s="259" customFormat="1"/>
    <row r="4056" s="259" customFormat="1"/>
    <row r="4057" s="259" customFormat="1"/>
    <row r="4058" s="259" customFormat="1"/>
    <row r="4059" s="259" customFormat="1"/>
    <row r="4060" s="259" customFormat="1"/>
    <row r="4061" s="259" customFormat="1"/>
    <row r="4062" s="259" customFormat="1"/>
    <row r="4063" s="259" customFormat="1"/>
    <row r="4064" s="259" customFormat="1"/>
    <row r="4065" s="259" customFormat="1"/>
    <row r="4066" s="259" customFormat="1"/>
    <row r="4067" s="259" customFormat="1"/>
    <row r="4068" s="259" customFormat="1"/>
    <row r="4069" s="259" customFormat="1"/>
    <row r="4070" s="259" customFormat="1"/>
    <row r="4071" s="259" customFormat="1"/>
    <row r="4072" s="259" customFormat="1"/>
    <row r="4073" s="259" customFormat="1"/>
    <row r="4074" s="259" customFormat="1"/>
    <row r="4075" s="259" customFormat="1"/>
    <row r="4076" s="259" customFormat="1"/>
    <row r="4077" s="259" customFormat="1"/>
    <row r="4078" s="259" customFormat="1"/>
    <row r="4079" s="259" customFormat="1"/>
    <row r="4080" s="259" customFormat="1"/>
    <row r="4081" s="259" customFormat="1"/>
    <row r="4082" s="259" customFormat="1"/>
    <row r="4083" s="259" customFormat="1"/>
    <row r="4084" s="259" customFormat="1"/>
    <row r="4085" s="259" customFormat="1"/>
    <row r="4086" s="259" customFormat="1"/>
    <row r="4087" s="259" customFormat="1"/>
    <row r="4088" s="259" customFormat="1"/>
    <row r="4089" s="259" customFormat="1"/>
    <row r="4090" s="259" customFormat="1"/>
    <row r="4091" s="259" customFormat="1"/>
    <row r="4092" s="259" customFormat="1"/>
    <row r="4093" s="259" customFormat="1"/>
    <row r="4094" s="259" customFormat="1"/>
    <row r="4095" s="259" customFormat="1"/>
    <row r="4096" s="259" customFormat="1"/>
    <row r="4097" s="259" customFormat="1"/>
    <row r="4098" s="259" customFormat="1"/>
    <row r="4099" s="259" customFormat="1"/>
    <row r="4100" s="259" customFormat="1"/>
    <row r="4101" s="259" customFormat="1"/>
    <row r="4102" s="259" customFormat="1"/>
    <row r="4103" s="259" customFormat="1"/>
    <row r="4104" s="259" customFormat="1"/>
    <row r="4105" s="259" customFormat="1"/>
    <row r="4106" s="259" customFormat="1"/>
    <row r="4107" s="259" customFormat="1"/>
    <row r="4108" s="259" customFormat="1"/>
    <row r="4109" s="259" customFormat="1"/>
    <row r="4110" s="259" customFormat="1"/>
    <row r="4111" s="259" customFormat="1"/>
    <row r="4112" s="259" customFormat="1"/>
    <row r="4113" s="259" customFormat="1"/>
    <row r="4114" s="259" customFormat="1"/>
    <row r="4115" s="259" customFormat="1"/>
    <row r="4116" s="259" customFormat="1"/>
    <row r="4117" s="259" customFormat="1"/>
    <row r="4118" s="259" customFormat="1"/>
    <row r="4119" s="259" customFormat="1"/>
    <row r="4120" s="259" customFormat="1"/>
    <row r="4121" s="259" customFormat="1"/>
    <row r="4122" s="259" customFormat="1"/>
    <row r="4123" s="259" customFormat="1"/>
    <row r="4124" s="259" customFormat="1"/>
    <row r="4125" s="259" customFormat="1"/>
    <row r="4126" s="259" customFormat="1"/>
    <row r="4127" s="259" customFormat="1"/>
    <row r="4128" s="259" customFormat="1"/>
    <row r="4129" s="259" customFormat="1"/>
    <row r="4130" s="259" customFormat="1"/>
    <row r="4131" s="259" customFormat="1"/>
    <row r="4132" s="259" customFormat="1"/>
    <row r="4133" s="259" customFormat="1"/>
    <row r="4134" s="259" customFormat="1"/>
    <row r="4135" s="259" customFormat="1"/>
    <row r="4136" s="259" customFormat="1"/>
    <row r="4137" s="259" customFormat="1"/>
    <row r="4138" s="259" customFormat="1"/>
    <row r="4139" s="259" customFormat="1"/>
    <row r="4140" s="259" customFormat="1"/>
    <row r="4141" s="259" customFormat="1"/>
    <row r="4142" s="259" customFormat="1"/>
    <row r="4143" s="259" customFormat="1"/>
    <row r="4144" s="259" customFormat="1"/>
    <row r="4145" s="259" customFormat="1"/>
    <row r="4146" s="259" customFormat="1"/>
    <row r="4147" s="259" customFormat="1"/>
    <row r="4148" s="259" customFormat="1"/>
    <row r="4149" s="259" customFormat="1"/>
    <row r="4150" s="259" customFormat="1"/>
    <row r="4151" s="259" customFormat="1"/>
    <row r="4152" s="259" customFormat="1"/>
    <row r="4153" s="259" customFormat="1"/>
    <row r="4154" s="259" customFormat="1"/>
    <row r="4155" s="259" customFormat="1"/>
    <row r="4156" s="259" customFormat="1"/>
    <row r="4157" s="259" customFormat="1"/>
    <row r="4158" s="259" customFormat="1"/>
    <row r="4159" s="259" customFormat="1"/>
    <row r="4160" s="259" customFormat="1"/>
    <row r="4161" s="259" customFormat="1"/>
    <row r="4162" s="259" customFormat="1"/>
    <row r="4163" s="259" customFormat="1"/>
    <row r="4164" s="259" customFormat="1"/>
    <row r="4165" s="259" customFormat="1"/>
    <row r="4166" s="259" customFormat="1"/>
    <row r="4167" s="259" customFormat="1"/>
    <row r="4168" s="259" customFormat="1"/>
    <row r="4169" s="259" customFormat="1"/>
    <row r="4170" s="259" customFormat="1"/>
    <row r="4171" s="259" customFormat="1"/>
    <row r="4172" s="259" customFormat="1"/>
    <row r="4173" s="259" customFormat="1"/>
    <row r="4174" s="259" customFormat="1"/>
    <row r="4175" s="259" customFormat="1"/>
    <row r="4176" s="259" customFormat="1"/>
    <row r="4177" s="259" customFormat="1"/>
    <row r="4178" s="259" customFormat="1"/>
    <row r="4179" s="259" customFormat="1"/>
    <row r="4180" s="259" customFormat="1"/>
    <row r="4181" s="259" customFormat="1"/>
    <row r="4182" s="259" customFormat="1"/>
    <row r="4183" s="259" customFormat="1"/>
    <row r="4184" s="259" customFormat="1"/>
    <row r="4185" s="259" customFormat="1"/>
    <row r="4186" s="259" customFormat="1"/>
    <row r="4187" s="259" customFormat="1"/>
    <row r="4188" s="259" customFormat="1"/>
    <row r="4189" s="259" customFormat="1"/>
    <row r="4190" s="259" customFormat="1"/>
    <row r="4191" s="259" customFormat="1"/>
    <row r="4192" s="259" customFormat="1"/>
    <row r="4193" s="259" customFormat="1"/>
    <row r="4194" s="259" customFormat="1"/>
    <row r="4195" s="259" customFormat="1"/>
    <row r="4196" s="259" customFormat="1"/>
    <row r="4197" s="259" customFormat="1"/>
    <row r="4198" s="259" customFormat="1"/>
    <row r="4199" s="259" customFormat="1"/>
    <row r="4200" s="259" customFormat="1"/>
    <row r="4201" s="259" customFormat="1"/>
    <row r="4202" s="259" customFormat="1"/>
    <row r="4203" s="259" customFormat="1"/>
    <row r="4204" s="259" customFormat="1"/>
    <row r="4205" s="259" customFormat="1"/>
    <row r="4206" s="259" customFormat="1"/>
    <row r="4207" s="259" customFormat="1"/>
    <row r="4208" s="259" customFormat="1"/>
    <row r="4209" s="259" customFormat="1"/>
    <row r="4210" s="259" customFormat="1"/>
    <row r="4211" s="259" customFormat="1"/>
    <row r="4212" s="259" customFormat="1"/>
    <row r="4213" s="259" customFormat="1"/>
    <row r="4214" s="259" customFormat="1"/>
    <row r="4215" s="259" customFormat="1"/>
    <row r="4216" s="259" customFormat="1"/>
    <row r="4217" s="259" customFormat="1"/>
    <row r="4218" s="259" customFormat="1"/>
    <row r="4219" s="259" customFormat="1"/>
    <row r="4220" s="259" customFormat="1"/>
    <row r="4221" s="259" customFormat="1"/>
    <row r="4222" s="259" customFormat="1"/>
    <row r="4223" s="259" customFormat="1"/>
    <row r="4224" s="259" customFormat="1"/>
    <row r="4225" s="259" customFormat="1"/>
    <row r="4226" s="259" customFormat="1"/>
    <row r="4227" s="259" customFormat="1"/>
    <row r="4228" s="259" customFormat="1"/>
    <row r="4229" s="259" customFormat="1"/>
    <row r="4230" s="259" customFormat="1"/>
    <row r="4231" s="259" customFormat="1"/>
    <row r="4232" s="259" customFormat="1"/>
    <row r="4233" s="259" customFormat="1"/>
    <row r="4234" s="259" customFormat="1"/>
    <row r="4235" s="259" customFormat="1"/>
    <row r="4236" s="259" customFormat="1"/>
    <row r="4237" s="259" customFormat="1"/>
    <row r="4238" s="259" customFormat="1"/>
    <row r="4239" s="259" customFormat="1"/>
    <row r="4240" s="259" customFormat="1"/>
    <row r="4241" s="259" customFormat="1"/>
    <row r="4242" s="259" customFormat="1"/>
    <row r="4243" s="259" customFormat="1"/>
    <row r="4244" s="259" customFormat="1"/>
    <row r="4245" s="259" customFormat="1"/>
    <row r="4246" s="259" customFormat="1"/>
    <row r="4247" s="259" customFormat="1"/>
    <row r="4248" s="259" customFormat="1"/>
    <row r="4249" s="259" customFormat="1"/>
    <row r="4250" s="259" customFormat="1"/>
    <row r="4251" s="259" customFormat="1"/>
    <row r="4252" s="259" customFormat="1"/>
    <row r="4253" s="259" customFormat="1"/>
    <row r="4254" s="259" customFormat="1"/>
    <row r="4255" s="259" customFormat="1"/>
    <row r="4256" s="259" customFormat="1"/>
    <row r="4257" s="259" customFormat="1"/>
    <row r="4258" s="259" customFormat="1"/>
    <row r="4259" s="259" customFormat="1"/>
    <row r="4260" s="259" customFormat="1"/>
    <row r="4261" s="259" customFormat="1"/>
    <row r="4262" s="259" customFormat="1"/>
    <row r="4263" s="259" customFormat="1"/>
    <row r="4264" s="259" customFormat="1"/>
    <row r="4265" s="259" customFormat="1"/>
    <row r="4266" s="259" customFormat="1"/>
    <row r="4267" s="259" customFormat="1"/>
    <row r="4268" s="259" customFormat="1"/>
    <row r="4269" s="259" customFormat="1"/>
    <row r="4270" s="259" customFormat="1"/>
    <row r="4271" s="259" customFormat="1"/>
    <row r="4272" s="259" customFormat="1"/>
    <row r="4273" s="259" customFormat="1"/>
    <row r="4274" s="259" customFormat="1"/>
    <row r="4275" s="259" customFormat="1"/>
    <row r="4276" s="259" customFormat="1"/>
    <row r="4277" s="259" customFormat="1"/>
    <row r="4278" s="259" customFormat="1"/>
    <row r="4279" s="259" customFormat="1"/>
    <row r="4280" s="259" customFormat="1"/>
    <row r="4281" s="259" customFormat="1"/>
    <row r="4282" s="259" customFormat="1"/>
    <row r="4283" s="259" customFormat="1"/>
    <row r="4284" s="259" customFormat="1"/>
    <row r="4285" s="259" customFormat="1"/>
    <row r="4286" s="259" customFormat="1"/>
    <row r="4287" s="259" customFormat="1"/>
    <row r="4288" s="259" customFormat="1"/>
    <row r="4289" s="259" customFormat="1"/>
    <row r="4290" s="259" customFormat="1"/>
    <row r="4291" s="259" customFormat="1"/>
    <row r="4292" s="259" customFormat="1"/>
    <row r="4293" s="259" customFormat="1"/>
    <row r="4294" s="259" customFormat="1"/>
    <row r="4295" s="259" customFormat="1"/>
    <row r="4296" s="259" customFormat="1"/>
    <row r="4297" s="259" customFormat="1"/>
    <row r="4298" s="259" customFormat="1"/>
    <row r="4299" s="259" customFormat="1"/>
    <row r="4300" s="259" customFormat="1"/>
    <row r="4301" s="259" customFormat="1"/>
    <row r="4302" s="259" customFormat="1"/>
    <row r="4303" s="259" customFormat="1"/>
    <row r="4304" s="259" customFormat="1"/>
    <row r="4305" s="259" customFormat="1"/>
    <row r="4306" s="259" customFormat="1"/>
    <row r="4307" s="259" customFormat="1"/>
    <row r="4308" s="259" customFormat="1"/>
    <row r="4309" s="259" customFormat="1"/>
    <row r="4310" s="259" customFormat="1"/>
    <row r="4311" s="259" customFormat="1"/>
    <row r="4312" s="259" customFormat="1"/>
    <row r="4313" s="259" customFormat="1"/>
    <row r="4314" s="259" customFormat="1"/>
    <row r="4315" s="259" customFormat="1"/>
    <row r="4316" s="259" customFormat="1"/>
    <row r="4317" s="259" customFormat="1"/>
    <row r="4318" s="259" customFormat="1"/>
    <row r="4319" s="259" customFormat="1"/>
    <row r="4320" s="259" customFormat="1"/>
    <row r="4321" s="259" customFormat="1"/>
    <row r="4322" s="259" customFormat="1"/>
    <row r="4323" s="259" customFormat="1"/>
    <row r="4324" s="259" customFormat="1"/>
    <row r="4325" s="259" customFormat="1"/>
    <row r="4326" s="259" customFormat="1"/>
    <row r="4327" s="259" customFormat="1"/>
    <row r="4328" s="259" customFormat="1"/>
    <row r="4329" s="259" customFormat="1"/>
    <row r="4330" s="259" customFormat="1"/>
    <row r="4331" s="259" customFormat="1"/>
    <row r="4332" s="259" customFormat="1"/>
    <row r="4333" s="259" customFormat="1"/>
    <row r="4334" s="259" customFormat="1"/>
    <row r="4335" s="259" customFormat="1"/>
    <row r="4336" s="259" customFormat="1"/>
    <row r="4337" s="259" customFormat="1"/>
    <row r="4338" s="259" customFormat="1"/>
    <row r="4339" s="259" customFormat="1"/>
    <row r="4340" s="259" customFormat="1"/>
    <row r="4341" s="259" customFormat="1"/>
    <row r="4342" s="259" customFormat="1"/>
    <row r="4343" s="259" customFormat="1"/>
    <row r="4344" s="259" customFormat="1"/>
    <row r="4345" s="259" customFormat="1"/>
    <row r="4346" s="259" customFormat="1"/>
    <row r="4347" s="259" customFormat="1"/>
    <row r="4348" s="259" customFormat="1"/>
    <row r="4349" s="259" customFormat="1"/>
    <row r="4350" s="259" customFormat="1"/>
    <row r="4351" s="259" customFormat="1"/>
    <row r="4352" s="259" customFormat="1"/>
    <row r="4353" s="259" customFormat="1"/>
    <row r="4354" s="259" customFormat="1"/>
    <row r="4355" s="259" customFormat="1"/>
    <row r="4356" s="259" customFormat="1"/>
    <row r="4357" s="259" customFormat="1"/>
    <row r="4358" s="259" customFormat="1"/>
    <row r="4359" s="259" customFormat="1"/>
    <row r="4360" s="259" customFormat="1"/>
    <row r="4361" s="259" customFormat="1"/>
    <row r="4362" s="259" customFormat="1"/>
    <row r="4363" s="259" customFormat="1"/>
    <row r="4364" s="259" customFormat="1"/>
    <row r="4365" s="259" customFormat="1"/>
    <row r="4366" s="259" customFormat="1"/>
    <row r="4367" s="259" customFormat="1"/>
    <row r="4368" s="259" customFormat="1"/>
    <row r="4369" s="259" customFormat="1"/>
    <row r="4370" s="259" customFormat="1"/>
    <row r="4371" s="259" customFormat="1"/>
    <row r="4372" s="259" customFormat="1"/>
    <row r="4373" s="259" customFormat="1"/>
    <row r="4374" s="259" customFormat="1"/>
    <row r="4375" s="259" customFormat="1"/>
    <row r="4376" s="259" customFormat="1"/>
    <row r="4377" s="259" customFormat="1"/>
    <row r="4378" s="259" customFormat="1"/>
    <row r="4379" s="259" customFormat="1"/>
    <row r="4380" s="259" customFormat="1"/>
    <row r="4381" s="259" customFormat="1"/>
    <row r="4382" s="259" customFormat="1"/>
    <row r="4383" s="259" customFormat="1"/>
    <row r="4384" s="259" customFormat="1"/>
    <row r="4385" s="259" customFormat="1"/>
    <row r="4386" s="259" customFormat="1"/>
    <row r="4387" s="259" customFormat="1"/>
    <row r="4388" s="259" customFormat="1"/>
    <row r="4389" s="259" customFormat="1"/>
    <row r="4390" s="259" customFormat="1"/>
    <row r="4391" s="259" customFormat="1"/>
    <row r="4392" s="259" customFormat="1"/>
    <row r="4393" s="259" customFormat="1"/>
    <row r="4394" s="259" customFormat="1"/>
    <row r="4395" s="259" customFormat="1"/>
    <row r="4396" s="259" customFormat="1"/>
    <row r="4397" s="259" customFormat="1"/>
    <row r="4398" s="259" customFormat="1"/>
    <row r="4399" s="259" customFormat="1"/>
    <row r="4400" s="259" customFormat="1"/>
    <row r="4401" s="259" customFormat="1"/>
    <row r="4402" s="259" customFormat="1"/>
    <row r="4403" s="259" customFormat="1"/>
    <row r="4404" s="259" customFormat="1"/>
    <row r="4405" s="259" customFormat="1"/>
    <row r="4406" s="259" customFormat="1"/>
    <row r="4407" s="259" customFormat="1"/>
    <row r="4408" s="259" customFormat="1"/>
    <row r="4409" s="259" customFormat="1"/>
    <row r="4410" s="259" customFormat="1"/>
    <row r="4411" s="259" customFormat="1"/>
    <row r="4412" s="259" customFormat="1"/>
    <row r="4413" s="259" customFormat="1"/>
    <row r="4414" s="259" customFormat="1"/>
    <row r="4415" s="259" customFormat="1"/>
    <row r="4416" s="259" customFormat="1"/>
    <row r="4417" s="259" customFormat="1"/>
    <row r="4418" s="259" customFormat="1"/>
    <row r="4419" s="259" customFormat="1"/>
    <row r="4420" s="259" customFormat="1"/>
    <row r="4421" s="259" customFormat="1"/>
    <row r="4422" s="259" customFormat="1"/>
    <row r="4423" s="259" customFormat="1"/>
    <row r="4424" s="259" customFormat="1"/>
    <row r="4425" s="259" customFormat="1"/>
    <row r="4426" s="259" customFormat="1"/>
    <row r="4427" s="259" customFormat="1"/>
    <row r="4428" s="259" customFormat="1"/>
    <row r="4429" s="259" customFormat="1"/>
    <row r="4430" s="259" customFormat="1"/>
    <row r="4431" s="259" customFormat="1"/>
    <row r="4432" s="259" customFormat="1"/>
    <row r="4433" s="259" customFormat="1"/>
    <row r="4434" s="259" customFormat="1"/>
    <row r="4435" s="259" customFormat="1"/>
    <row r="4436" s="259" customFormat="1"/>
    <row r="4437" s="259" customFormat="1"/>
    <row r="4438" s="259" customFormat="1"/>
    <row r="4439" s="259" customFormat="1"/>
    <row r="4440" s="259" customFormat="1"/>
    <row r="4441" s="259" customFormat="1"/>
    <row r="4442" s="259" customFormat="1"/>
    <row r="4443" s="259" customFormat="1"/>
    <row r="4444" s="259" customFormat="1"/>
    <row r="4445" s="259" customFormat="1"/>
    <row r="4446" s="259" customFormat="1"/>
    <row r="4447" s="259" customFormat="1"/>
    <row r="4448" s="259" customFormat="1"/>
    <row r="4449" s="259" customFormat="1"/>
    <row r="4450" s="259" customFormat="1"/>
    <row r="4451" s="259" customFormat="1"/>
    <row r="4452" s="259" customFormat="1"/>
    <row r="4453" s="259" customFormat="1"/>
    <row r="4454" s="259" customFormat="1"/>
    <row r="4455" s="259" customFormat="1"/>
    <row r="4456" s="259" customFormat="1"/>
    <row r="4457" s="259" customFormat="1"/>
    <row r="4458" s="259" customFormat="1"/>
    <row r="4459" s="259" customFormat="1"/>
    <row r="4460" s="259" customFormat="1"/>
    <row r="4461" s="259" customFormat="1"/>
    <row r="4462" s="259" customFormat="1"/>
    <row r="4463" s="259" customFormat="1"/>
    <row r="4464" s="259" customFormat="1"/>
    <row r="4465" s="259" customFormat="1"/>
    <row r="4466" s="259" customFormat="1"/>
    <row r="4467" s="259" customFormat="1"/>
    <row r="4468" s="259" customFormat="1"/>
    <row r="4469" s="259" customFormat="1"/>
    <row r="4470" s="259" customFormat="1"/>
    <row r="4471" s="259" customFormat="1"/>
    <row r="4472" s="259" customFormat="1"/>
    <row r="4473" s="259" customFormat="1"/>
    <row r="4474" s="259" customFormat="1"/>
    <row r="4475" s="259" customFormat="1"/>
    <row r="4476" s="259" customFormat="1"/>
    <row r="4477" s="259" customFormat="1"/>
    <row r="4478" s="259" customFormat="1"/>
    <row r="4479" s="259" customFormat="1"/>
    <row r="4480" s="259" customFormat="1"/>
    <row r="4481" s="259" customFormat="1"/>
    <row r="4482" s="259" customFormat="1"/>
    <row r="4483" s="259" customFormat="1"/>
    <row r="4484" s="259" customFormat="1"/>
    <row r="4485" s="259" customFormat="1"/>
    <row r="4486" s="259" customFormat="1"/>
    <row r="4487" s="259" customFormat="1"/>
    <row r="4488" s="259" customFormat="1"/>
    <row r="4489" s="259" customFormat="1"/>
    <row r="4490" s="259" customFormat="1"/>
    <row r="4491" s="259" customFormat="1"/>
    <row r="4492" s="259" customFormat="1"/>
    <row r="4493" s="259" customFormat="1"/>
    <row r="4494" s="259" customFormat="1"/>
    <row r="4495" s="259" customFormat="1"/>
    <row r="4496" s="259" customFormat="1"/>
    <row r="4497" s="259" customFormat="1"/>
    <row r="4498" s="259" customFormat="1"/>
    <row r="4499" s="259" customFormat="1"/>
    <row r="4500" s="259" customFormat="1"/>
    <row r="4501" s="259" customFormat="1"/>
    <row r="4502" s="259" customFormat="1"/>
    <row r="4503" s="259" customFormat="1"/>
    <row r="4504" s="259" customFormat="1"/>
    <row r="4505" s="259" customFormat="1"/>
    <row r="4506" s="259" customFormat="1"/>
    <row r="4507" s="259" customFormat="1"/>
    <row r="4508" s="259" customFormat="1"/>
    <row r="4509" s="259" customFormat="1"/>
    <row r="4510" s="259" customFormat="1"/>
    <row r="4511" s="259" customFormat="1"/>
    <row r="4512" s="259" customFormat="1"/>
    <row r="4513" s="259" customFormat="1"/>
    <row r="4514" s="259" customFormat="1"/>
    <row r="4515" s="259" customFormat="1"/>
    <row r="4516" s="259" customFormat="1"/>
    <row r="4517" s="259" customFormat="1"/>
    <row r="4518" s="259" customFormat="1"/>
    <row r="4519" s="259" customFormat="1"/>
    <row r="4520" s="259" customFormat="1"/>
    <row r="4521" s="259" customFormat="1"/>
    <row r="4522" s="259" customFormat="1"/>
    <row r="4523" s="259" customFormat="1"/>
    <row r="4524" s="259" customFormat="1"/>
    <row r="4525" s="259" customFormat="1"/>
    <row r="4526" s="259" customFormat="1"/>
    <row r="4527" s="259" customFormat="1"/>
    <row r="4528" s="259" customFormat="1"/>
    <row r="4529" s="259" customFormat="1"/>
    <row r="4530" s="259" customFormat="1"/>
    <row r="4531" s="259" customFormat="1"/>
    <row r="4532" s="259" customFormat="1"/>
    <row r="4533" s="259" customFormat="1"/>
    <row r="4534" s="259" customFormat="1"/>
    <row r="4535" s="259" customFormat="1"/>
    <row r="4536" s="259" customFormat="1"/>
    <row r="4537" s="259" customFormat="1"/>
    <row r="4538" s="259" customFormat="1"/>
    <row r="4539" s="259" customFormat="1"/>
    <row r="4540" s="259" customFormat="1"/>
    <row r="4541" s="259" customFormat="1"/>
    <row r="4542" s="259" customFormat="1"/>
    <row r="4543" s="259" customFormat="1"/>
    <row r="4544" s="259" customFormat="1"/>
    <row r="4545" s="259" customFormat="1"/>
    <row r="4546" s="259" customFormat="1"/>
    <row r="4547" s="259" customFormat="1"/>
    <row r="4548" s="259" customFormat="1"/>
    <row r="4549" s="259" customFormat="1"/>
    <row r="4550" s="259" customFormat="1"/>
    <row r="4551" s="259" customFormat="1"/>
    <row r="4552" s="259" customFormat="1"/>
    <row r="4553" s="259" customFormat="1"/>
    <row r="4554" s="259" customFormat="1"/>
    <row r="4555" s="259" customFormat="1"/>
    <row r="4556" s="259" customFormat="1"/>
    <row r="4557" s="259" customFormat="1"/>
    <row r="4558" s="259" customFormat="1"/>
    <row r="4559" s="259" customFormat="1"/>
    <row r="4560" s="259" customFormat="1"/>
    <row r="4561" s="259" customFormat="1"/>
    <row r="4562" s="259" customFormat="1"/>
    <row r="4563" s="259" customFormat="1"/>
    <row r="4564" s="259" customFormat="1"/>
    <row r="4565" s="259" customFormat="1"/>
    <row r="4566" s="259" customFormat="1"/>
    <row r="4567" s="259" customFormat="1"/>
    <row r="4568" s="259" customFormat="1"/>
    <row r="4569" s="259" customFormat="1"/>
    <row r="4570" s="259" customFormat="1"/>
    <row r="4571" s="259" customFormat="1"/>
    <row r="4572" s="259" customFormat="1"/>
    <row r="4573" s="259" customFormat="1"/>
    <row r="4574" s="259" customFormat="1"/>
    <row r="4575" s="259" customFormat="1"/>
    <row r="4576" s="259" customFormat="1"/>
    <row r="4577" s="259" customFormat="1"/>
    <row r="4578" s="259" customFormat="1"/>
    <row r="4579" s="259" customFormat="1"/>
    <row r="4580" s="259" customFormat="1"/>
    <row r="4581" s="259" customFormat="1"/>
    <row r="4582" s="259" customFormat="1"/>
    <row r="4583" s="259" customFormat="1"/>
    <row r="4584" s="259" customFormat="1"/>
    <row r="4585" s="259" customFormat="1"/>
    <row r="4586" s="259" customFormat="1"/>
    <row r="4587" s="259" customFormat="1"/>
    <row r="4588" s="259" customFormat="1"/>
    <row r="4589" s="259" customFormat="1"/>
    <row r="4590" s="259" customFormat="1"/>
    <row r="4591" s="259" customFormat="1"/>
    <row r="4592" s="259" customFormat="1"/>
    <row r="4593" s="259" customFormat="1"/>
    <row r="4594" s="259" customFormat="1"/>
    <row r="4595" s="259" customFormat="1"/>
    <row r="4596" s="259" customFormat="1"/>
    <row r="4597" s="259" customFormat="1"/>
    <row r="4598" s="259" customFormat="1"/>
    <row r="4599" s="259" customFormat="1"/>
    <row r="4600" s="259" customFormat="1"/>
    <row r="4601" s="259" customFormat="1"/>
    <row r="4602" s="259" customFormat="1"/>
    <row r="4603" s="259" customFormat="1"/>
    <row r="4604" s="259" customFormat="1"/>
    <row r="4605" s="259" customFormat="1"/>
    <row r="4606" s="259" customFormat="1"/>
    <row r="4607" s="259" customFormat="1"/>
    <row r="4608" s="259" customFormat="1"/>
    <row r="4609" s="259" customFormat="1"/>
    <row r="4610" s="259" customFormat="1"/>
    <row r="4611" s="259" customFormat="1"/>
    <row r="4612" s="259" customFormat="1"/>
    <row r="4613" s="259" customFormat="1"/>
    <row r="4614" s="259" customFormat="1"/>
    <row r="4615" s="259" customFormat="1"/>
    <row r="4616" s="259" customFormat="1"/>
    <row r="4617" s="259" customFormat="1"/>
    <row r="4618" s="259" customFormat="1"/>
    <row r="4619" s="259" customFormat="1"/>
    <row r="4620" s="259" customFormat="1"/>
    <row r="4621" s="259" customFormat="1"/>
    <row r="4622" s="259" customFormat="1"/>
    <row r="4623" s="259" customFormat="1"/>
    <row r="4624" s="259" customFormat="1"/>
    <row r="4625" s="259" customFormat="1"/>
    <row r="4626" s="259" customFormat="1"/>
    <row r="4627" s="259" customFormat="1"/>
    <row r="4628" s="259" customFormat="1"/>
    <row r="4629" s="259" customFormat="1"/>
    <row r="4630" s="259" customFormat="1"/>
    <row r="4631" s="259" customFormat="1"/>
    <row r="4632" s="259" customFormat="1"/>
    <row r="4633" s="259" customFormat="1"/>
    <row r="4634" s="259" customFormat="1"/>
    <row r="4635" s="259" customFormat="1"/>
    <row r="4636" s="259" customFormat="1"/>
    <row r="4637" s="259" customFormat="1"/>
    <row r="4638" s="259" customFormat="1"/>
    <row r="4639" s="259" customFormat="1"/>
    <row r="4640" s="259" customFormat="1"/>
    <row r="4641" s="259" customFormat="1"/>
    <row r="4642" s="259" customFormat="1"/>
    <row r="4643" s="259" customFormat="1"/>
    <row r="4644" s="259" customFormat="1"/>
    <row r="4645" s="259" customFormat="1"/>
    <row r="4646" s="259" customFormat="1"/>
    <row r="4647" s="259" customFormat="1"/>
    <row r="4648" s="259" customFormat="1"/>
    <row r="4649" s="259" customFormat="1"/>
    <row r="4650" s="259" customFormat="1"/>
    <row r="4651" s="259" customFormat="1"/>
    <row r="4652" s="259" customFormat="1"/>
    <row r="4653" s="259" customFormat="1"/>
    <row r="4654" s="259" customFormat="1"/>
    <row r="4655" s="259" customFormat="1"/>
    <row r="4656" s="259" customFormat="1"/>
    <row r="4657" s="259" customFormat="1"/>
    <row r="4658" s="259" customFormat="1"/>
    <row r="4659" s="259" customFormat="1"/>
    <row r="4660" s="259" customFormat="1"/>
    <row r="4661" s="259" customFormat="1"/>
    <row r="4662" s="259" customFormat="1"/>
    <row r="4663" s="259" customFormat="1"/>
    <row r="4664" s="259" customFormat="1"/>
    <row r="4665" s="259" customFormat="1"/>
    <row r="4666" s="259" customFormat="1"/>
    <row r="4667" s="259" customFormat="1"/>
    <row r="4668" s="259" customFormat="1"/>
    <row r="4669" s="259" customFormat="1"/>
    <row r="4670" s="259" customFormat="1"/>
    <row r="4671" s="259" customFormat="1"/>
    <row r="4672" s="259" customFormat="1"/>
    <row r="4673" s="259" customFormat="1"/>
    <row r="4674" s="259" customFormat="1"/>
    <row r="4675" s="259" customFormat="1"/>
    <row r="4676" s="259" customFormat="1"/>
    <row r="4677" s="259" customFormat="1"/>
    <row r="4678" s="259" customFormat="1"/>
    <row r="4679" s="259" customFormat="1"/>
    <row r="4680" s="259" customFormat="1"/>
    <row r="4681" s="259" customFormat="1"/>
    <row r="4682" s="259" customFormat="1"/>
    <row r="4683" s="259" customFormat="1"/>
    <row r="4684" s="259" customFormat="1"/>
    <row r="4685" s="259" customFormat="1"/>
    <row r="4686" s="259" customFormat="1"/>
    <row r="4687" s="259" customFormat="1"/>
    <row r="4688" s="259" customFormat="1"/>
    <row r="4689" s="259" customFormat="1"/>
    <row r="4690" s="259" customFormat="1"/>
    <row r="4691" s="259" customFormat="1"/>
    <row r="4692" s="259" customFormat="1"/>
    <row r="4693" s="259" customFormat="1"/>
    <row r="4694" s="259" customFormat="1"/>
    <row r="4695" s="259" customFormat="1"/>
    <row r="4696" s="259" customFormat="1"/>
    <row r="4697" s="259" customFormat="1"/>
    <row r="4698" s="259" customFormat="1"/>
    <row r="4699" s="259" customFormat="1"/>
    <row r="4700" s="259" customFormat="1"/>
    <row r="4701" s="259" customFormat="1"/>
    <row r="4702" s="259" customFormat="1"/>
    <row r="4703" s="259" customFormat="1"/>
    <row r="4704" s="259" customFormat="1"/>
    <row r="4705" s="259" customFormat="1"/>
    <row r="4706" s="259" customFormat="1"/>
    <row r="4707" s="259" customFormat="1"/>
    <row r="4708" s="259" customFormat="1"/>
    <row r="4709" s="259" customFormat="1"/>
    <row r="4710" s="259" customFormat="1"/>
    <row r="4711" s="259" customFormat="1"/>
    <row r="4712" s="259" customFormat="1"/>
    <row r="4713" s="259" customFormat="1"/>
    <row r="4714" s="259" customFormat="1"/>
    <row r="4715" s="259" customFormat="1"/>
    <row r="4716" s="259" customFormat="1"/>
    <row r="4717" s="259" customFormat="1"/>
    <row r="4718" s="259" customFormat="1"/>
    <row r="4719" s="259" customFormat="1"/>
    <row r="4720" s="259" customFormat="1"/>
    <row r="4721" s="259" customFormat="1"/>
    <row r="4722" s="259" customFormat="1"/>
    <row r="4723" s="259" customFormat="1"/>
    <row r="4724" s="259" customFormat="1"/>
    <row r="4725" s="259" customFormat="1"/>
    <row r="4726" s="259" customFormat="1"/>
    <row r="4727" s="259" customFormat="1"/>
    <row r="4728" s="259" customFormat="1"/>
    <row r="4729" s="259" customFormat="1"/>
    <row r="4730" s="259" customFormat="1"/>
    <row r="4731" s="259" customFormat="1"/>
    <row r="4732" s="259" customFormat="1"/>
    <row r="4733" s="259" customFormat="1"/>
    <row r="4734" s="259" customFormat="1"/>
    <row r="4735" s="259" customFormat="1"/>
    <row r="4736" s="259" customFormat="1"/>
    <row r="4737" s="259" customFormat="1"/>
    <row r="4738" s="259" customFormat="1"/>
    <row r="4739" s="259" customFormat="1"/>
    <row r="4740" s="259" customFormat="1"/>
    <row r="4741" s="259" customFormat="1"/>
    <row r="4742" s="259" customFormat="1"/>
    <row r="4743" s="259" customFormat="1"/>
    <row r="4744" s="259" customFormat="1"/>
    <row r="4745" s="259" customFormat="1"/>
    <row r="4746" s="259" customFormat="1"/>
    <row r="4747" s="259" customFormat="1"/>
    <row r="4748" s="259" customFormat="1"/>
    <row r="4749" s="259" customFormat="1"/>
    <row r="4750" s="259" customFormat="1"/>
    <row r="4751" s="259" customFormat="1"/>
    <row r="4752" s="259" customFormat="1"/>
    <row r="4753" s="259" customFormat="1"/>
    <row r="4754" s="259" customFormat="1"/>
    <row r="4755" s="259" customFormat="1"/>
    <row r="4756" s="259" customFormat="1"/>
    <row r="4757" s="259" customFormat="1"/>
    <row r="4758" s="259" customFormat="1"/>
    <row r="4759" s="259" customFormat="1"/>
    <row r="4760" s="259" customFormat="1"/>
    <row r="4761" s="259" customFormat="1"/>
    <row r="4762" s="259" customFormat="1"/>
    <row r="4763" s="259" customFormat="1"/>
    <row r="4764" s="259" customFormat="1"/>
    <row r="4765" s="259" customFormat="1"/>
    <row r="4766" s="259" customFormat="1"/>
    <row r="4767" s="259" customFormat="1"/>
    <row r="4768" s="259" customFormat="1"/>
    <row r="4769" s="259" customFormat="1"/>
    <row r="4770" s="259" customFormat="1"/>
    <row r="4771" s="259" customFormat="1"/>
    <row r="4772" s="259" customFormat="1"/>
    <row r="4773" s="259" customFormat="1"/>
    <row r="4774" s="259" customFormat="1"/>
    <row r="4775" s="259" customFormat="1"/>
    <row r="4776" s="259" customFormat="1"/>
    <row r="4777" s="259" customFormat="1"/>
    <row r="4778" s="259" customFormat="1"/>
    <row r="4779" s="259" customFormat="1"/>
    <row r="4780" s="259" customFormat="1"/>
    <row r="4781" s="259" customFormat="1"/>
    <row r="4782" s="259" customFormat="1"/>
    <row r="4783" s="259" customFormat="1"/>
    <row r="4784" s="259" customFormat="1"/>
    <row r="4785" s="259" customFormat="1"/>
    <row r="4786" s="259" customFormat="1"/>
    <row r="4787" s="259" customFormat="1"/>
    <row r="4788" s="259" customFormat="1"/>
    <row r="4789" s="259" customFormat="1"/>
    <row r="4790" s="259" customFormat="1"/>
    <row r="4791" s="259" customFormat="1"/>
    <row r="4792" s="259" customFormat="1"/>
    <row r="4793" s="259" customFormat="1"/>
    <row r="4794" s="259" customFormat="1"/>
    <row r="4795" s="259" customFormat="1"/>
    <row r="4796" s="259" customFormat="1"/>
    <row r="4797" s="259" customFormat="1"/>
    <row r="4798" s="259" customFormat="1"/>
    <row r="4799" s="259" customFormat="1"/>
    <row r="4800" s="259" customFormat="1"/>
    <row r="4801" s="259" customFormat="1"/>
    <row r="4802" s="259" customFormat="1"/>
    <row r="4803" s="259" customFormat="1"/>
    <row r="4804" s="259" customFormat="1"/>
    <row r="4805" s="259" customFormat="1"/>
    <row r="4806" s="259" customFormat="1"/>
    <row r="4807" s="259" customFormat="1"/>
    <row r="4808" s="259" customFormat="1"/>
    <row r="4809" s="259" customFormat="1"/>
    <row r="4810" s="259" customFormat="1"/>
    <row r="4811" s="259" customFormat="1"/>
    <row r="4812" s="259" customFormat="1"/>
    <row r="4813" s="259" customFormat="1"/>
    <row r="4814" s="259" customFormat="1"/>
    <row r="4815" s="259" customFormat="1"/>
    <row r="4816" s="259" customFormat="1"/>
    <row r="4817" s="259" customFormat="1"/>
    <row r="4818" s="259" customFormat="1"/>
    <row r="4819" s="259" customFormat="1"/>
    <row r="4820" s="259" customFormat="1"/>
    <row r="4821" s="259" customFormat="1"/>
    <row r="4822" s="259" customFormat="1"/>
    <row r="4823" s="259" customFormat="1"/>
    <row r="4824" s="259" customFormat="1"/>
    <row r="4825" s="259" customFormat="1"/>
    <row r="4826" s="259" customFormat="1"/>
    <row r="4827" s="259" customFormat="1"/>
    <row r="4828" s="259" customFormat="1"/>
    <row r="4829" s="259" customFormat="1"/>
    <row r="4830" s="259" customFormat="1"/>
    <row r="4831" s="259" customFormat="1"/>
    <row r="4832" s="259" customFormat="1"/>
    <row r="4833" s="259" customFormat="1"/>
    <row r="4834" s="259" customFormat="1"/>
    <row r="4835" s="259" customFormat="1"/>
    <row r="4836" s="259" customFormat="1"/>
    <row r="4837" s="259" customFormat="1"/>
    <row r="4838" s="259" customFormat="1"/>
    <row r="4839" s="259" customFormat="1"/>
    <row r="4840" s="259" customFormat="1"/>
    <row r="4841" s="259" customFormat="1"/>
    <row r="4842" s="259" customFormat="1"/>
    <row r="4843" s="259" customFormat="1"/>
    <row r="4844" s="259" customFormat="1"/>
    <row r="4845" s="259" customFormat="1"/>
    <row r="4846" s="259" customFormat="1"/>
    <row r="4847" s="259" customFormat="1"/>
    <row r="4848" s="259" customFormat="1"/>
    <row r="4849" s="259" customFormat="1"/>
    <row r="4850" s="259" customFormat="1"/>
    <row r="4851" s="259" customFormat="1"/>
    <row r="4852" s="259" customFormat="1"/>
    <row r="4853" s="259" customFormat="1"/>
    <row r="4854" s="259" customFormat="1"/>
    <row r="4855" s="259" customFormat="1"/>
    <row r="4856" s="259" customFormat="1"/>
    <row r="4857" s="259" customFormat="1"/>
    <row r="4858" s="259" customFormat="1"/>
    <row r="4859" s="259" customFormat="1"/>
    <row r="4860" s="259" customFormat="1"/>
    <row r="4861" s="259" customFormat="1"/>
    <row r="4862" s="259" customFormat="1"/>
    <row r="4863" s="259" customFormat="1"/>
    <row r="4864" s="259" customFormat="1"/>
    <row r="4865" s="259" customFormat="1"/>
    <row r="4866" s="259" customFormat="1"/>
    <row r="4867" s="259" customFormat="1"/>
    <row r="4868" s="259" customFormat="1"/>
    <row r="4869" s="259" customFormat="1"/>
    <row r="4870" s="259" customFormat="1"/>
    <row r="4871" s="259" customFormat="1"/>
    <row r="4872" s="259" customFormat="1"/>
    <row r="4873" s="259" customFormat="1"/>
    <row r="4874" s="259" customFormat="1"/>
    <row r="4875" s="259" customFormat="1"/>
    <row r="4876" s="259" customFormat="1"/>
    <row r="4877" s="259" customFormat="1"/>
    <row r="4878" s="259" customFormat="1"/>
    <row r="4879" s="259" customFormat="1"/>
    <row r="4880" s="259" customFormat="1"/>
    <row r="4881" s="259" customFormat="1"/>
    <row r="4882" s="259" customFormat="1"/>
    <row r="4883" s="259" customFormat="1"/>
    <row r="4884" s="259" customFormat="1"/>
    <row r="4885" s="259" customFormat="1"/>
    <row r="4886" s="259" customFormat="1"/>
    <row r="4887" s="259" customFormat="1"/>
    <row r="4888" s="259" customFormat="1"/>
    <row r="4889" s="259" customFormat="1"/>
    <row r="4890" s="259" customFormat="1"/>
    <row r="4891" s="259" customFormat="1"/>
    <row r="4892" s="259" customFormat="1"/>
    <row r="4893" s="259" customFormat="1"/>
    <row r="4894" s="259" customFormat="1"/>
    <row r="4895" s="259" customFormat="1"/>
    <row r="4896" s="259" customFormat="1"/>
    <row r="4897" s="259" customFormat="1"/>
    <row r="4898" s="259" customFormat="1"/>
    <row r="4899" s="259" customFormat="1"/>
    <row r="4900" s="259" customFormat="1"/>
    <row r="4901" s="259" customFormat="1"/>
    <row r="4902" s="259" customFormat="1"/>
    <row r="4903" s="259" customFormat="1"/>
    <row r="4904" s="259" customFormat="1"/>
    <row r="4905" s="259" customFormat="1"/>
    <row r="4906" s="259" customFormat="1"/>
    <row r="4907" s="259" customFormat="1"/>
    <row r="4908" s="259" customFormat="1"/>
    <row r="4909" s="259" customFormat="1"/>
    <row r="4910" s="259" customFormat="1"/>
    <row r="4911" s="259" customFormat="1"/>
    <row r="4912" s="259" customFormat="1"/>
    <row r="4913" s="259" customFormat="1"/>
    <row r="4914" s="259" customFormat="1"/>
    <row r="4915" s="259" customFormat="1"/>
    <row r="4916" s="259" customFormat="1"/>
    <row r="4917" s="259" customFormat="1"/>
    <row r="4918" s="259" customFormat="1"/>
    <row r="4919" s="259" customFormat="1"/>
    <row r="4920" s="259" customFormat="1"/>
    <row r="4921" s="259" customFormat="1"/>
    <row r="4922" s="259" customFormat="1"/>
    <row r="4923" s="259" customFormat="1"/>
    <row r="4924" s="259" customFormat="1"/>
    <row r="4925" s="259" customFormat="1"/>
    <row r="4926" s="259" customFormat="1"/>
    <row r="4927" s="259" customFormat="1"/>
    <row r="4928" s="259" customFormat="1"/>
    <row r="4929" s="259" customFormat="1"/>
    <row r="4930" s="259" customFormat="1"/>
    <row r="4931" s="259" customFormat="1"/>
    <row r="4932" s="259" customFormat="1"/>
    <row r="4933" s="259" customFormat="1"/>
    <row r="4934" s="259" customFormat="1"/>
    <row r="4935" s="259" customFormat="1"/>
    <row r="4936" s="259" customFormat="1"/>
    <row r="4937" s="259" customFormat="1"/>
    <row r="4938" s="259" customFormat="1"/>
    <row r="4939" s="259" customFormat="1"/>
    <row r="4940" s="259" customFormat="1"/>
    <row r="4941" s="259" customFormat="1"/>
    <row r="4942" s="259" customFormat="1"/>
    <row r="4943" s="259" customFormat="1"/>
    <row r="4944" s="259" customFormat="1"/>
    <row r="4945" s="259" customFormat="1"/>
    <row r="4946" s="259" customFormat="1"/>
    <row r="4947" s="259" customFormat="1"/>
    <row r="4948" s="259" customFormat="1"/>
    <row r="4949" s="259" customFormat="1"/>
    <row r="4950" s="259" customFormat="1"/>
    <row r="4951" s="259" customFormat="1"/>
    <row r="4952" s="259" customFormat="1"/>
    <row r="4953" s="259" customFormat="1"/>
    <row r="4954" s="259" customFormat="1"/>
    <row r="4955" s="259" customFormat="1"/>
    <row r="4956" s="259" customFormat="1"/>
    <row r="4957" s="259" customFormat="1"/>
    <row r="4958" s="259" customFormat="1"/>
    <row r="4959" s="259" customFormat="1"/>
    <row r="4960" s="259" customFormat="1"/>
    <row r="4961" s="259" customFormat="1"/>
    <row r="4962" s="259" customFormat="1"/>
    <row r="4963" s="259" customFormat="1"/>
    <row r="4964" s="259" customFormat="1"/>
    <row r="4965" s="259" customFormat="1"/>
    <row r="4966" s="259" customFormat="1"/>
    <row r="4967" s="259" customFormat="1"/>
    <row r="4968" s="259" customFormat="1"/>
    <row r="4969" s="259" customFormat="1"/>
    <row r="4970" s="259" customFormat="1"/>
    <row r="4971" s="259" customFormat="1"/>
    <row r="4972" s="259" customFormat="1"/>
    <row r="4973" s="259" customFormat="1"/>
    <row r="4974" s="259" customFormat="1"/>
    <row r="4975" s="259" customFormat="1"/>
    <row r="4976" s="259" customFormat="1"/>
    <row r="4977" s="259" customFormat="1"/>
    <row r="4978" s="259" customFormat="1"/>
    <row r="4979" s="259" customFormat="1"/>
    <row r="4980" s="259" customFormat="1"/>
    <row r="4981" s="259" customFormat="1"/>
    <row r="4982" s="259" customFormat="1"/>
    <row r="4983" s="259" customFormat="1"/>
    <row r="4984" s="259" customFormat="1"/>
    <row r="4985" s="259" customFormat="1"/>
    <row r="4986" s="259" customFormat="1"/>
    <row r="4987" s="259" customFormat="1"/>
    <row r="4988" s="259" customFormat="1"/>
    <row r="4989" s="259" customFormat="1"/>
    <row r="4990" s="259" customFormat="1"/>
    <row r="4991" s="259" customFormat="1"/>
    <row r="4992" s="259" customFormat="1"/>
    <row r="4993" s="259" customFormat="1"/>
    <row r="4994" s="259" customFormat="1"/>
    <row r="4995" s="259" customFormat="1"/>
    <row r="4996" s="259" customFormat="1"/>
    <row r="4997" s="259" customFormat="1"/>
    <row r="4998" s="259" customFormat="1"/>
    <row r="4999" s="259" customFormat="1"/>
    <row r="5000" s="259" customFormat="1"/>
    <row r="5001" s="259" customFormat="1"/>
    <row r="5002" s="259" customFormat="1"/>
    <row r="5003" s="259" customFormat="1"/>
    <row r="5004" s="259" customFormat="1"/>
    <row r="5005" s="259" customFormat="1"/>
    <row r="5006" s="259" customFormat="1"/>
    <row r="5007" s="259" customFormat="1"/>
    <row r="5008" s="259" customFormat="1"/>
    <row r="5009" s="259" customFormat="1"/>
    <row r="5010" s="259" customFormat="1"/>
    <row r="5011" s="259" customFormat="1"/>
    <row r="5012" s="259" customFormat="1"/>
    <row r="5013" s="259" customFormat="1"/>
    <row r="5014" s="259" customFormat="1"/>
    <row r="5015" s="259" customFormat="1"/>
    <row r="5016" s="259" customFormat="1"/>
    <row r="5017" s="259" customFormat="1"/>
    <row r="5018" s="259" customFormat="1"/>
    <row r="5019" s="259" customFormat="1"/>
    <row r="5020" s="259" customFormat="1"/>
    <row r="5021" s="259" customFormat="1"/>
    <row r="5022" s="259" customFormat="1"/>
    <row r="5023" s="259" customFormat="1"/>
    <row r="5024" s="259" customFormat="1"/>
    <row r="5025" s="259" customFormat="1"/>
    <row r="5026" s="259" customFormat="1"/>
    <row r="5027" s="259" customFormat="1"/>
    <row r="5028" s="259" customFormat="1"/>
    <row r="5029" s="259" customFormat="1"/>
    <row r="5030" s="259" customFormat="1"/>
    <row r="5031" s="259" customFormat="1"/>
    <row r="5032" s="259" customFormat="1"/>
    <row r="5033" s="259" customFormat="1"/>
    <row r="5034" s="259" customFormat="1"/>
    <row r="5035" s="259" customFormat="1"/>
    <row r="5036" s="259" customFormat="1"/>
    <row r="5037" s="259" customFormat="1"/>
    <row r="5038" s="259" customFormat="1"/>
    <row r="5039" s="259" customFormat="1"/>
    <row r="5040" s="259" customFormat="1"/>
    <row r="5041" s="259" customFormat="1"/>
    <row r="5042" s="259" customFormat="1"/>
    <row r="5043" s="259" customFormat="1"/>
    <row r="5044" s="259" customFormat="1"/>
    <row r="5045" s="259" customFormat="1"/>
    <row r="5046" s="259" customFormat="1"/>
    <row r="5047" s="259" customFormat="1"/>
    <row r="5048" s="259" customFormat="1"/>
    <row r="5049" s="259" customFormat="1"/>
    <row r="5050" s="259" customFormat="1"/>
    <row r="5051" s="259" customFormat="1"/>
    <row r="5052" s="259" customFormat="1"/>
    <row r="5053" s="259" customFormat="1"/>
    <row r="5054" s="259" customFormat="1"/>
    <row r="5055" s="259" customFormat="1"/>
    <row r="5056" s="259" customFormat="1"/>
    <row r="5057" s="259" customFormat="1"/>
    <row r="5058" s="259" customFormat="1"/>
    <row r="5059" s="259" customFormat="1"/>
    <row r="5060" s="259" customFormat="1"/>
    <row r="5061" s="259" customFormat="1"/>
    <row r="5062" s="259" customFormat="1"/>
    <row r="5063" s="259" customFormat="1"/>
    <row r="5064" s="259" customFormat="1"/>
    <row r="5065" s="259" customFormat="1"/>
    <row r="5066" s="259" customFormat="1"/>
    <row r="5067" s="259" customFormat="1"/>
    <row r="5068" s="259" customFormat="1"/>
    <row r="5069" s="259" customFormat="1"/>
    <row r="5070" s="259" customFormat="1"/>
    <row r="5071" s="259" customFormat="1"/>
    <row r="5072" s="259" customFormat="1"/>
    <row r="5073" s="259" customFormat="1"/>
    <row r="5074" s="259" customFormat="1"/>
    <row r="5075" s="259" customFormat="1"/>
    <row r="5076" s="259" customFormat="1"/>
    <row r="5077" s="259" customFormat="1"/>
    <row r="5078" s="259" customFormat="1"/>
    <row r="5079" s="259" customFormat="1"/>
    <row r="5080" s="259" customFormat="1"/>
    <row r="5081" s="259" customFormat="1"/>
    <row r="5082" s="259" customFormat="1"/>
    <row r="5083" s="259" customFormat="1"/>
    <row r="5084" s="259" customFormat="1"/>
    <row r="5085" s="259" customFormat="1"/>
    <row r="5086" s="259" customFormat="1"/>
    <row r="5087" s="259" customFormat="1"/>
    <row r="5088" s="259" customFormat="1"/>
    <row r="5089" s="259" customFormat="1"/>
    <row r="5090" s="259" customFormat="1"/>
    <row r="5091" s="259" customFormat="1"/>
    <row r="5092" s="259" customFormat="1"/>
    <row r="5093" s="259" customFormat="1"/>
    <row r="5094" s="259" customFormat="1"/>
    <row r="5095" s="259" customFormat="1"/>
    <row r="5096" s="259" customFormat="1"/>
    <row r="5097" s="259" customFormat="1"/>
    <row r="5098" s="259" customFormat="1"/>
    <row r="5099" s="259" customFormat="1"/>
    <row r="5100" s="259" customFormat="1"/>
    <row r="5101" s="259" customFormat="1"/>
    <row r="5102" s="259" customFormat="1"/>
    <row r="5103" s="259" customFormat="1"/>
    <row r="5104" s="259" customFormat="1"/>
    <row r="5105" s="259" customFormat="1"/>
    <row r="5106" s="259" customFormat="1"/>
    <row r="5107" s="259" customFormat="1"/>
    <row r="5108" s="259" customFormat="1"/>
    <row r="5109" s="259" customFormat="1"/>
    <row r="5110" s="259" customFormat="1"/>
    <row r="5111" s="259" customFormat="1"/>
    <row r="5112" s="259" customFormat="1"/>
    <row r="5113" s="259" customFormat="1"/>
    <row r="5114" s="259" customFormat="1"/>
    <row r="5115" s="259" customFormat="1"/>
    <row r="5116" s="259" customFormat="1"/>
    <row r="5117" s="259" customFormat="1"/>
    <row r="5118" s="259" customFormat="1"/>
    <row r="5119" s="259" customFormat="1"/>
    <row r="5120" s="259" customFormat="1"/>
    <row r="5121" s="259" customFormat="1"/>
    <row r="5122" s="259" customFormat="1"/>
    <row r="5123" s="259" customFormat="1"/>
    <row r="5124" s="259" customFormat="1"/>
    <row r="5125" s="259" customFormat="1"/>
    <row r="5126" s="259" customFormat="1"/>
    <row r="5127" s="259" customFormat="1"/>
    <row r="5128" s="259" customFormat="1"/>
    <row r="5129" s="259" customFormat="1"/>
    <row r="5130" s="259" customFormat="1"/>
    <row r="5131" s="259" customFormat="1"/>
    <row r="5132" s="259" customFormat="1"/>
    <row r="5133" s="259" customFormat="1"/>
    <row r="5134" s="259" customFormat="1"/>
    <row r="5135" s="259" customFormat="1"/>
    <row r="5136" s="259" customFormat="1"/>
    <row r="5137" s="259" customFormat="1"/>
    <row r="5138" s="259" customFormat="1"/>
    <row r="5139" s="259" customFormat="1"/>
    <row r="5140" s="259" customFormat="1"/>
    <row r="5141" s="259" customFormat="1"/>
    <row r="5142" s="259" customFormat="1"/>
    <row r="5143" s="259" customFormat="1"/>
    <row r="5144" s="259" customFormat="1"/>
    <row r="5145" s="259" customFormat="1"/>
    <row r="5146" s="259" customFormat="1"/>
    <row r="5147" s="259" customFormat="1"/>
    <row r="5148" s="259" customFormat="1"/>
    <row r="5149" s="259" customFormat="1"/>
    <row r="5150" s="259" customFormat="1"/>
    <row r="5151" s="259" customFormat="1"/>
    <row r="5152" s="259" customFormat="1"/>
    <row r="5153" s="259" customFormat="1"/>
    <row r="5154" s="259" customFormat="1"/>
    <row r="5155" s="259" customFormat="1"/>
    <row r="5156" s="259" customFormat="1"/>
    <row r="5157" s="259" customFormat="1"/>
    <row r="5158" s="259" customFormat="1"/>
    <row r="5159" s="259" customFormat="1"/>
    <row r="5160" s="259" customFormat="1"/>
    <row r="5161" s="259" customFormat="1"/>
    <row r="5162" s="259" customFormat="1"/>
    <row r="5163" s="259" customFormat="1"/>
    <row r="5164" s="259" customFormat="1"/>
    <row r="5165" s="259" customFormat="1"/>
    <row r="5166" s="259" customFormat="1"/>
    <row r="5167" s="259" customFormat="1"/>
    <row r="5168" s="259" customFormat="1"/>
    <row r="5169" s="259" customFormat="1"/>
    <row r="5170" s="259" customFormat="1"/>
    <row r="5171" s="259" customFormat="1"/>
    <row r="5172" s="259" customFormat="1"/>
    <row r="5173" s="259" customFormat="1"/>
    <row r="5174" s="259" customFormat="1"/>
    <row r="5175" s="259" customFormat="1"/>
    <row r="5176" s="259" customFormat="1"/>
    <row r="5177" s="259" customFormat="1"/>
    <row r="5178" s="259" customFormat="1"/>
    <row r="5179" s="259" customFormat="1"/>
    <row r="5180" s="259" customFormat="1"/>
    <row r="5181" s="259" customFormat="1"/>
    <row r="5182" s="259" customFormat="1"/>
    <row r="5183" s="259" customFormat="1"/>
    <row r="5184" s="259" customFormat="1"/>
    <row r="5185" s="259" customFormat="1"/>
    <row r="5186" s="259" customFormat="1"/>
    <row r="5187" s="259" customFormat="1"/>
    <row r="5188" s="259" customFormat="1"/>
    <row r="5189" s="259" customFormat="1"/>
    <row r="5190" s="259" customFormat="1"/>
    <row r="5191" s="259" customFormat="1"/>
    <row r="5192" s="259" customFormat="1"/>
    <row r="5193" s="259" customFormat="1"/>
    <row r="5194" s="259" customFormat="1"/>
    <row r="5195" s="259" customFormat="1"/>
    <row r="5196" s="259" customFormat="1"/>
    <row r="5197" s="259" customFormat="1"/>
    <row r="5198" s="259" customFormat="1"/>
    <row r="5199" s="259" customFormat="1"/>
    <row r="5200" s="259" customFormat="1"/>
    <row r="5201" s="259" customFormat="1"/>
    <row r="5202" s="259" customFormat="1"/>
    <row r="5203" s="259" customFormat="1"/>
    <row r="5204" s="259" customFormat="1"/>
    <row r="5205" s="259" customFormat="1"/>
    <row r="5206" s="259" customFormat="1"/>
    <row r="5207" s="259" customFormat="1"/>
    <row r="5208" s="259" customFormat="1"/>
    <row r="5209" s="259" customFormat="1"/>
    <row r="5210" s="259" customFormat="1"/>
    <row r="5211" s="259" customFormat="1"/>
    <row r="5212" s="259" customFormat="1"/>
    <row r="5213" s="259" customFormat="1"/>
    <row r="5214" s="259" customFormat="1"/>
    <row r="5215" s="259" customFormat="1"/>
    <row r="5216" s="259" customFormat="1"/>
    <row r="5217" s="259" customFormat="1"/>
    <row r="5218" s="259" customFormat="1"/>
    <row r="5219" s="259" customFormat="1"/>
    <row r="5220" s="259" customFormat="1"/>
    <row r="5221" s="259" customFormat="1"/>
    <row r="5222" s="259" customFormat="1"/>
    <row r="5223" s="259" customFormat="1"/>
    <row r="5224" s="259" customFormat="1"/>
    <row r="5225" s="259" customFormat="1"/>
    <row r="5226" s="259" customFormat="1"/>
    <row r="5227" s="259" customFormat="1"/>
    <row r="5228" s="259" customFormat="1"/>
    <row r="5229" s="259" customFormat="1"/>
    <row r="5230" s="259" customFormat="1"/>
    <row r="5231" s="259" customFormat="1"/>
    <row r="5232" s="259" customFormat="1"/>
    <row r="5233" s="259" customFormat="1"/>
    <row r="5234" s="259" customFormat="1"/>
    <row r="5235" s="259" customFormat="1"/>
    <row r="5236" s="259" customFormat="1"/>
    <row r="5237" s="259" customFormat="1"/>
    <row r="5238" s="259" customFormat="1"/>
    <row r="5239" s="259" customFormat="1"/>
    <row r="5240" s="259" customFormat="1"/>
    <row r="5241" s="259" customFormat="1"/>
    <row r="5242" s="259" customFormat="1"/>
    <row r="5243" s="259" customFormat="1"/>
    <row r="5244" s="259" customFormat="1"/>
    <row r="5245" s="259" customFormat="1"/>
    <row r="5246" s="259" customFormat="1"/>
    <row r="5247" s="259" customFormat="1"/>
    <row r="5248" s="259" customFormat="1"/>
    <row r="5249" s="259" customFormat="1"/>
    <row r="5250" s="259" customFormat="1"/>
    <row r="5251" s="259" customFormat="1"/>
    <row r="5252" s="259" customFormat="1"/>
    <row r="5253" s="259" customFormat="1"/>
    <row r="5254" s="259" customFormat="1"/>
    <row r="5255" s="259" customFormat="1"/>
    <row r="5256" s="259" customFormat="1"/>
    <row r="5257" s="259" customFormat="1"/>
    <row r="5258" s="259" customFormat="1"/>
    <row r="5259" s="259" customFormat="1"/>
    <row r="5260" s="259" customFormat="1"/>
    <row r="5261" s="259" customFormat="1"/>
    <row r="5262" s="259" customFormat="1"/>
    <row r="5263" s="259" customFormat="1"/>
    <row r="5264" s="259" customFormat="1"/>
    <row r="5265" s="259" customFormat="1"/>
    <row r="5266" s="259" customFormat="1"/>
    <row r="5267" s="259" customFormat="1"/>
    <row r="5268" s="259" customFormat="1"/>
    <row r="5269" s="259" customFormat="1"/>
    <row r="5270" s="259" customFormat="1"/>
    <row r="5271" s="259" customFormat="1"/>
    <row r="5272" s="259" customFormat="1"/>
    <row r="5273" s="259" customFormat="1"/>
    <row r="5274" s="259" customFormat="1"/>
    <row r="5275" s="259" customFormat="1"/>
    <row r="5276" s="259" customFormat="1"/>
    <row r="5277" s="259" customFormat="1"/>
    <row r="5278" s="259" customFormat="1"/>
    <row r="5279" s="259" customFormat="1"/>
    <row r="5280" s="259" customFormat="1"/>
    <row r="5281" s="259" customFormat="1"/>
    <row r="5282" s="259" customFormat="1"/>
    <row r="5283" s="259" customFormat="1"/>
    <row r="5284" s="259" customFormat="1"/>
    <row r="5285" s="259" customFormat="1"/>
    <row r="5286" s="259" customFormat="1"/>
    <row r="5287" s="259" customFormat="1"/>
    <row r="5288" s="259" customFormat="1"/>
    <row r="5289" s="259" customFormat="1"/>
    <row r="5290" s="259" customFormat="1"/>
    <row r="5291" s="259" customFormat="1"/>
    <row r="5292" s="259" customFormat="1"/>
    <row r="5293" s="259" customFormat="1"/>
    <row r="5294" s="259" customFormat="1"/>
    <row r="5295" s="259" customFormat="1"/>
    <row r="5296" s="259" customFormat="1"/>
    <row r="5297" s="259" customFormat="1"/>
    <row r="5298" s="259" customFormat="1"/>
    <row r="5299" s="259" customFormat="1"/>
    <row r="5300" s="259" customFormat="1"/>
    <row r="5301" s="259" customFormat="1"/>
    <row r="5302" s="259" customFormat="1"/>
    <row r="5303" s="259" customFormat="1"/>
    <row r="5304" s="259" customFormat="1"/>
    <row r="5305" s="259" customFormat="1"/>
    <row r="5306" s="259" customFormat="1"/>
    <row r="5307" s="259" customFormat="1"/>
    <row r="5308" s="259" customFormat="1"/>
    <row r="5309" s="259" customFormat="1"/>
    <row r="5310" s="259" customFormat="1"/>
    <row r="5311" s="259" customFormat="1"/>
    <row r="5312" s="259" customFormat="1"/>
    <row r="5313" s="259" customFormat="1"/>
    <row r="5314" s="259" customFormat="1"/>
    <row r="5315" s="259" customFormat="1"/>
    <row r="5316" s="259" customFormat="1"/>
    <row r="5317" s="259" customFormat="1"/>
    <row r="5318" s="259" customFormat="1"/>
    <row r="5319" s="259" customFormat="1"/>
    <row r="5320" s="259" customFormat="1"/>
    <row r="5321" s="259" customFormat="1"/>
    <row r="5322" s="259" customFormat="1"/>
    <row r="5323" s="259" customFormat="1"/>
    <row r="5324" s="259" customFormat="1"/>
    <row r="5325" s="259" customFormat="1"/>
    <row r="5326" s="259" customFormat="1"/>
    <row r="5327" s="259" customFormat="1"/>
    <row r="5328" s="259" customFormat="1"/>
    <row r="5329" s="259" customFormat="1"/>
    <row r="5330" s="259" customFormat="1"/>
    <row r="5331" s="259" customFormat="1"/>
    <row r="5332" s="259" customFormat="1"/>
    <row r="5333" s="259" customFormat="1"/>
    <row r="5334" s="259" customFormat="1"/>
    <row r="5335" s="259" customFormat="1"/>
    <row r="5336" s="259" customFormat="1"/>
    <row r="5337" s="259" customFormat="1"/>
    <row r="5338" s="259" customFormat="1"/>
    <row r="5339" s="259" customFormat="1"/>
    <row r="5340" s="259" customFormat="1"/>
    <row r="5341" s="259" customFormat="1"/>
    <row r="5342" s="259" customFormat="1"/>
    <row r="5343" s="259" customFormat="1"/>
    <row r="5344" s="259" customFormat="1"/>
    <row r="5345" s="259" customFormat="1"/>
    <row r="5346" s="259" customFormat="1"/>
    <row r="5347" s="259" customFormat="1"/>
    <row r="5348" s="259" customFormat="1"/>
    <row r="5349" s="259" customFormat="1"/>
    <row r="5350" s="259" customFormat="1"/>
    <row r="5351" s="259" customFormat="1"/>
    <row r="5352" s="259" customFormat="1"/>
    <row r="5353" s="259" customFormat="1"/>
    <row r="5354" s="259" customFormat="1"/>
    <row r="5355" s="259" customFormat="1"/>
    <row r="5356" s="259" customFormat="1"/>
    <row r="5357" s="259" customFormat="1"/>
    <row r="5358" s="259" customFormat="1"/>
    <row r="5359" s="259" customFormat="1"/>
    <row r="5360" s="259" customFormat="1"/>
    <row r="5361" s="259" customFormat="1"/>
    <row r="5362" s="259" customFormat="1"/>
    <row r="5363" s="259" customFormat="1"/>
    <row r="5364" s="259" customFormat="1"/>
    <row r="5365" s="259" customFormat="1"/>
    <row r="5366" s="259" customFormat="1"/>
    <row r="5367" s="259" customFormat="1"/>
    <row r="5368" s="259" customFormat="1"/>
    <row r="5369" s="259" customFormat="1"/>
    <row r="5370" s="259" customFormat="1"/>
    <row r="5371" s="259" customFormat="1"/>
    <row r="5372" s="259" customFormat="1"/>
    <row r="5373" s="259" customFormat="1"/>
    <row r="5374" s="259" customFormat="1"/>
    <row r="5375" s="259" customFormat="1"/>
    <row r="5376" s="259" customFormat="1"/>
    <row r="5377" s="259" customFormat="1"/>
    <row r="5378" s="259" customFormat="1"/>
    <row r="5379" s="259" customFormat="1"/>
    <row r="5380" s="259" customFormat="1"/>
    <row r="5381" s="259" customFormat="1"/>
    <row r="5382" s="259" customFormat="1"/>
    <row r="5383" s="259" customFormat="1"/>
    <row r="5384" s="259" customFormat="1"/>
    <row r="5385" s="259" customFormat="1"/>
    <row r="5386" s="259" customFormat="1"/>
    <row r="5387" s="259" customFormat="1"/>
    <row r="5388" s="259" customFormat="1"/>
    <row r="5389" s="259" customFormat="1"/>
    <row r="5390" s="259" customFormat="1"/>
    <row r="5391" s="259" customFormat="1"/>
    <row r="5392" s="259" customFormat="1"/>
    <row r="5393" s="259" customFormat="1"/>
    <row r="5394" s="259" customFormat="1"/>
    <row r="5395" s="259" customFormat="1"/>
    <row r="5396" s="259" customFormat="1"/>
    <row r="5397" s="259" customFormat="1"/>
    <row r="5398" s="259" customFormat="1"/>
    <row r="5399" s="259" customFormat="1"/>
    <row r="5400" s="259" customFormat="1"/>
    <row r="5401" s="259" customFormat="1"/>
    <row r="5402" s="259" customFormat="1"/>
    <row r="5403" s="259" customFormat="1"/>
    <row r="5404" s="259" customFormat="1"/>
    <row r="5405" s="259" customFormat="1"/>
    <row r="5406" s="259" customFormat="1"/>
    <row r="5407" s="259" customFormat="1"/>
    <row r="5408" s="259" customFormat="1"/>
    <row r="5409" s="259" customFormat="1"/>
    <row r="5410" s="259" customFormat="1"/>
    <row r="5411" s="259" customFormat="1"/>
    <row r="5412" s="259" customFormat="1"/>
    <row r="5413" s="259" customFormat="1"/>
    <row r="5414" s="259" customFormat="1"/>
    <row r="5415" s="259" customFormat="1"/>
    <row r="5416" s="259" customFormat="1"/>
    <row r="5417" s="259" customFormat="1"/>
    <row r="5418" s="259" customFormat="1"/>
    <row r="5419" s="259" customFormat="1"/>
    <row r="5420" s="259" customFormat="1"/>
    <row r="5421" s="259" customFormat="1"/>
    <row r="5422" s="259" customFormat="1"/>
    <row r="5423" s="259" customFormat="1"/>
    <row r="5424" s="259" customFormat="1"/>
    <row r="5425" s="259" customFormat="1"/>
    <row r="5426" s="259" customFormat="1"/>
    <row r="5427" s="259" customFormat="1"/>
    <row r="5428" s="259" customFormat="1"/>
    <row r="5429" s="259" customFormat="1"/>
    <row r="5430" s="259" customFormat="1"/>
    <row r="5431" s="259" customFormat="1"/>
    <row r="5432" s="259" customFormat="1"/>
    <row r="5433" s="259" customFormat="1"/>
    <row r="5434" s="259" customFormat="1"/>
    <row r="5435" s="259" customFormat="1"/>
    <row r="5436" s="259" customFormat="1"/>
    <row r="5437" s="259" customFormat="1"/>
    <row r="5438" s="259" customFormat="1"/>
    <row r="5439" s="259" customFormat="1"/>
    <row r="5440" s="259" customFormat="1"/>
    <row r="5441" s="259" customFormat="1"/>
    <row r="5442" s="259" customFormat="1"/>
    <row r="5443" s="259" customFormat="1"/>
    <row r="5444" s="259" customFormat="1"/>
    <row r="5445" s="259" customFormat="1"/>
    <row r="5446" s="259" customFormat="1"/>
    <row r="5447" s="259" customFormat="1"/>
    <row r="5448" s="259" customFormat="1"/>
    <row r="5449" s="259" customFormat="1"/>
    <row r="5450" s="259" customFormat="1"/>
    <row r="5451" s="259" customFormat="1"/>
    <row r="5452" s="259" customFormat="1"/>
    <row r="5453" s="259" customFormat="1"/>
    <row r="5454" s="259" customFormat="1"/>
    <row r="5455" s="259" customFormat="1"/>
    <row r="5456" s="259" customFormat="1"/>
    <row r="5457" s="259" customFormat="1"/>
    <row r="5458" s="259" customFormat="1"/>
    <row r="5459" s="259" customFormat="1"/>
    <row r="5460" s="259" customFormat="1"/>
    <row r="5461" s="259" customFormat="1"/>
    <row r="5462" s="259" customFormat="1"/>
    <row r="5463" s="259" customFormat="1"/>
    <row r="5464" s="259" customFormat="1"/>
    <row r="5465" s="259" customFormat="1"/>
    <row r="5466" s="259" customFormat="1"/>
    <row r="5467" s="259" customFormat="1"/>
    <row r="5468" s="259" customFormat="1"/>
    <row r="5469" s="259" customFormat="1"/>
    <row r="5470" s="259" customFormat="1"/>
    <row r="5471" s="259" customFormat="1"/>
    <row r="5472" s="259" customFormat="1"/>
    <row r="5473" s="259" customFormat="1"/>
    <row r="5474" s="259" customFormat="1"/>
    <row r="5475" s="259" customFormat="1"/>
    <row r="5476" s="259" customFormat="1"/>
    <row r="5477" s="259" customFormat="1"/>
    <row r="5478" s="259" customFormat="1"/>
    <row r="5479" s="259" customFormat="1"/>
    <row r="5480" s="259" customFormat="1"/>
    <row r="5481" s="259" customFormat="1"/>
    <row r="5482" s="259" customFormat="1"/>
    <row r="5483" s="259" customFormat="1"/>
    <row r="5484" s="259" customFormat="1"/>
    <row r="5485" s="259" customFormat="1"/>
    <row r="5486" s="259" customFormat="1"/>
    <row r="5487" s="259" customFormat="1"/>
    <row r="5488" s="259" customFormat="1"/>
    <row r="5489" s="259" customFormat="1"/>
    <row r="5490" s="259" customFormat="1"/>
    <row r="5491" s="259" customFormat="1"/>
    <row r="5492" s="259" customFormat="1"/>
    <row r="5493" s="259" customFormat="1"/>
    <row r="5494" s="259" customFormat="1"/>
    <row r="5495" s="259" customFormat="1"/>
    <row r="5496" s="259" customFormat="1"/>
    <row r="5497" s="259" customFormat="1"/>
    <row r="5498" s="259" customFormat="1"/>
    <row r="5499" s="259" customFormat="1"/>
    <row r="5500" s="259" customFormat="1"/>
    <row r="5501" s="259" customFormat="1"/>
    <row r="5502" s="259" customFormat="1"/>
    <row r="5503" s="259" customFormat="1"/>
    <row r="5504" s="259" customFormat="1"/>
    <row r="5505" s="259" customFormat="1"/>
    <row r="5506" s="259" customFormat="1"/>
    <row r="5507" s="259" customFormat="1"/>
    <row r="5508" s="259" customFormat="1"/>
    <row r="5509" s="259" customFormat="1"/>
    <row r="5510" s="259" customFormat="1"/>
    <row r="5511" s="259" customFormat="1"/>
    <row r="5512" s="259" customFormat="1"/>
    <row r="5513" s="259" customFormat="1"/>
    <row r="5514" s="259" customFormat="1"/>
    <row r="5515" s="259" customFormat="1"/>
    <row r="5516" s="259" customFormat="1"/>
    <row r="5517" s="259" customFormat="1"/>
    <row r="5518" s="259" customFormat="1"/>
    <row r="5519" s="259" customFormat="1"/>
    <row r="5520" s="259" customFormat="1"/>
    <row r="5521" s="259" customFormat="1"/>
    <row r="5522" s="259" customFormat="1"/>
    <row r="5523" s="259" customFormat="1"/>
    <row r="5524" s="259" customFormat="1"/>
    <row r="5525" s="259" customFormat="1"/>
    <row r="5526" s="259" customFormat="1"/>
    <row r="5527" s="259" customFormat="1"/>
    <row r="5528" s="259" customFormat="1"/>
    <row r="5529" s="259" customFormat="1"/>
    <row r="5530" s="259" customFormat="1"/>
    <row r="5531" s="259" customFormat="1"/>
    <row r="5532" s="259" customFormat="1"/>
    <row r="5533" s="259" customFormat="1"/>
    <row r="5534" s="259" customFormat="1"/>
    <row r="5535" s="259" customFormat="1"/>
    <row r="5536" s="259" customFormat="1"/>
    <row r="5537" s="259" customFormat="1"/>
    <row r="5538" s="259" customFormat="1"/>
    <row r="5539" s="259" customFormat="1"/>
    <row r="5540" s="259" customFormat="1"/>
    <row r="5541" s="259" customFormat="1"/>
    <row r="5542" s="259" customFormat="1"/>
    <row r="5543" s="259" customFormat="1"/>
    <row r="5544" s="259" customFormat="1"/>
    <row r="5545" s="259" customFormat="1"/>
    <row r="5546" s="259" customFormat="1"/>
    <row r="5547" s="259" customFormat="1"/>
    <row r="5548" s="259" customFormat="1"/>
    <row r="5549" s="259" customFormat="1"/>
    <row r="5550" s="259" customFormat="1"/>
    <row r="5551" s="259" customFormat="1"/>
    <row r="5552" s="259" customFormat="1"/>
    <row r="5553" s="259" customFormat="1"/>
    <row r="5554" s="259" customFormat="1"/>
    <row r="5555" s="259" customFormat="1"/>
    <row r="5556" s="259" customFormat="1"/>
    <row r="5557" s="259" customFormat="1"/>
    <row r="5558" s="259" customFormat="1"/>
    <row r="5559" s="259" customFormat="1"/>
    <row r="5560" s="259" customFormat="1"/>
    <row r="5561" s="259" customFormat="1"/>
    <row r="5562" s="259" customFormat="1"/>
    <row r="5563" s="259" customFormat="1"/>
    <row r="5564" s="259" customFormat="1"/>
    <row r="5565" s="259" customFormat="1"/>
    <row r="5566" s="259" customFormat="1"/>
    <row r="5567" s="259" customFormat="1"/>
    <row r="5568" s="259" customFormat="1"/>
    <row r="5569" s="259" customFormat="1"/>
    <row r="5570" s="259" customFormat="1"/>
    <row r="5571" s="259" customFormat="1"/>
    <row r="5572" s="259" customFormat="1"/>
    <row r="5573" s="259" customFormat="1"/>
    <row r="5574" s="259" customFormat="1"/>
    <row r="5575" s="259" customFormat="1"/>
    <row r="5576" s="259" customFormat="1"/>
    <row r="5577" s="259" customFormat="1"/>
    <row r="5578" s="259" customFormat="1"/>
    <row r="5579" s="259" customFormat="1"/>
    <row r="5580" s="259" customFormat="1"/>
    <row r="5581" s="259" customFormat="1"/>
    <row r="5582" s="259" customFormat="1"/>
    <row r="5583" s="259" customFormat="1"/>
    <row r="5584" s="259" customFormat="1"/>
    <row r="5585" s="259" customFormat="1"/>
    <row r="5586" s="259" customFormat="1"/>
    <row r="5587" s="259" customFormat="1"/>
    <row r="5588" s="259" customFormat="1"/>
    <row r="5589" s="259" customFormat="1"/>
    <row r="5590" s="259" customFormat="1"/>
    <row r="5591" s="259" customFormat="1"/>
    <row r="5592" s="259" customFormat="1"/>
    <row r="5593" s="259" customFormat="1"/>
    <row r="5594" s="259" customFormat="1"/>
    <row r="5595" s="259" customFormat="1"/>
    <row r="5596" s="259" customFormat="1"/>
    <row r="5597" s="259" customFormat="1"/>
    <row r="5598" s="259" customFormat="1"/>
    <row r="5599" s="259" customFormat="1"/>
    <row r="5600" s="259" customFormat="1"/>
    <row r="5601" s="259" customFormat="1"/>
    <row r="5602" s="259" customFormat="1"/>
    <row r="5603" s="259" customFormat="1"/>
    <row r="5604" s="259" customFormat="1"/>
    <row r="5605" s="259" customFormat="1"/>
    <row r="5606" s="259" customFormat="1"/>
    <row r="5607" s="259" customFormat="1"/>
    <row r="5608" s="259" customFormat="1"/>
    <row r="5609" s="259" customFormat="1"/>
    <row r="5610" s="259" customFormat="1"/>
    <row r="5611" s="259" customFormat="1"/>
    <row r="5612" s="259" customFormat="1"/>
    <row r="5613" s="259" customFormat="1"/>
    <row r="5614" s="259" customFormat="1"/>
    <row r="5615" s="259" customFormat="1"/>
    <row r="5616" s="259" customFormat="1"/>
    <row r="5617" s="259" customFormat="1"/>
    <row r="5618" s="259" customFormat="1"/>
    <row r="5619" s="259" customFormat="1"/>
    <row r="5620" s="259" customFormat="1"/>
    <row r="5621" s="259" customFormat="1"/>
    <row r="5622" s="259" customFormat="1"/>
    <row r="5623" s="259" customFormat="1"/>
    <row r="5624" s="259" customFormat="1"/>
    <row r="5625" s="259" customFormat="1"/>
    <row r="5626" s="259" customFormat="1"/>
    <row r="5627" s="259" customFormat="1"/>
    <row r="5628" s="259" customFormat="1"/>
    <row r="5629" s="259" customFormat="1"/>
    <row r="5630" s="259" customFormat="1"/>
    <row r="5631" s="259" customFormat="1"/>
    <row r="5632" s="259" customFormat="1"/>
    <row r="5633" s="259" customFormat="1"/>
    <row r="5634" s="259" customFormat="1"/>
    <row r="5635" s="259" customFormat="1"/>
    <row r="5636" s="259" customFormat="1"/>
    <row r="5637" s="259" customFormat="1"/>
    <row r="5638" s="259" customFormat="1"/>
    <row r="5639" s="259" customFormat="1"/>
    <row r="5640" s="259" customFormat="1"/>
    <row r="5641" s="259" customFormat="1"/>
    <row r="5642" s="259" customFormat="1"/>
    <row r="5643" s="259" customFormat="1"/>
    <row r="5644" s="259" customFormat="1"/>
    <row r="5645" s="259" customFormat="1"/>
    <row r="5646" s="259" customFormat="1"/>
    <row r="5647" s="259" customFormat="1"/>
    <row r="5648" s="259" customFormat="1"/>
    <row r="5649" s="259" customFormat="1"/>
    <row r="5650" s="259" customFormat="1"/>
    <row r="5651" s="259" customFormat="1"/>
    <row r="5652" s="259" customFormat="1"/>
    <row r="5653" s="259" customFormat="1"/>
    <row r="5654" s="259" customFormat="1"/>
    <row r="5655" s="259" customFormat="1"/>
    <row r="5656" s="259" customFormat="1"/>
    <row r="5657" s="259" customFormat="1"/>
    <row r="5658" s="259" customFormat="1"/>
    <row r="5659" s="259" customFormat="1"/>
    <row r="5660" s="259" customFormat="1"/>
    <row r="5661" s="259" customFormat="1"/>
    <row r="5662" s="259" customFormat="1"/>
    <row r="5663" s="259" customFormat="1"/>
    <row r="5664" s="259" customFormat="1"/>
    <row r="5665" s="259" customFormat="1"/>
    <row r="5666" s="259" customFormat="1"/>
    <row r="5667" s="259" customFormat="1"/>
    <row r="5668" s="259" customFormat="1"/>
    <row r="5669" s="259" customFormat="1"/>
    <row r="5670" s="259" customFormat="1"/>
    <row r="5671" s="259" customFormat="1"/>
    <row r="5672" s="259" customFormat="1"/>
    <row r="5673" s="259" customFormat="1"/>
    <row r="5674" s="259" customFormat="1"/>
    <row r="5675" s="259" customFormat="1"/>
    <row r="5676" s="259" customFormat="1"/>
    <row r="5677" s="259" customFormat="1"/>
    <row r="5678" s="259" customFormat="1"/>
    <row r="5679" s="259" customFormat="1"/>
    <row r="5680" s="259" customFormat="1"/>
    <row r="5681" s="259" customFormat="1"/>
    <row r="5682" s="259" customFormat="1"/>
    <row r="5683" s="259" customFormat="1"/>
    <row r="5684" s="259" customFormat="1"/>
    <row r="5685" s="259" customFormat="1"/>
    <row r="5686" s="259" customFormat="1"/>
    <row r="5687" s="259" customFormat="1"/>
    <row r="5688" s="259" customFormat="1"/>
    <row r="5689" s="259" customFormat="1"/>
    <row r="5690" s="259" customFormat="1"/>
    <row r="5691" s="259" customFormat="1"/>
    <row r="5692" s="259" customFormat="1"/>
    <row r="5693" s="259" customFormat="1"/>
    <row r="5694" s="259" customFormat="1"/>
    <row r="5695" s="259" customFormat="1"/>
    <row r="5696" s="259" customFormat="1"/>
    <row r="5697" s="259" customFormat="1"/>
    <row r="5698" s="259" customFormat="1"/>
    <row r="5699" s="259" customFormat="1"/>
    <row r="5700" s="259" customFormat="1"/>
    <row r="5701" s="259" customFormat="1"/>
    <row r="5702" s="259" customFormat="1"/>
    <row r="5703" s="259" customFormat="1"/>
    <row r="5704" s="259" customFormat="1"/>
    <row r="5705" s="259" customFormat="1"/>
    <row r="5706" s="259" customFormat="1"/>
    <row r="5707" s="259" customFormat="1"/>
    <row r="5708" s="259" customFormat="1"/>
    <row r="5709" s="259" customFormat="1"/>
    <row r="5710" s="259" customFormat="1"/>
    <row r="5711" s="259" customFormat="1"/>
    <row r="5712" s="259" customFormat="1"/>
    <row r="5713" s="259" customFormat="1"/>
    <row r="5714" s="259" customFormat="1"/>
    <row r="5715" s="259" customFormat="1"/>
    <row r="5716" s="259" customFormat="1"/>
    <row r="5717" s="259" customFormat="1"/>
    <row r="5718" s="259" customFormat="1"/>
    <row r="5719" s="259" customFormat="1"/>
    <row r="5720" s="259" customFormat="1"/>
    <row r="5721" s="259" customFormat="1"/>
    <row r="5722" s="259" customFormat="1"/>
    <row r="5723" s="259" customFormat="1"/>
    <row r="5724" s="259" customFormat="1"/>
    <row r="5725" s="259" customFormat="1"/>
    <row r="5726" s="259" customFormat="1"/>
    <row r="5727" s="259" customFormat="1"/>
    <row r="5728" s="259" customFormat="1"/>
    <row r="5729" s="259" customFormat="1"/>
    <row r="5730" s="259" customFormat="1"/>
    <row r="5731" s="259" customFormat="1"/>
    <row r="5732" s="259" customFormat="1"/>
    <row r="5733" s="259" customFormat="1"/>
    <row r="5734" s="259" customFormat="1"/>
    <row r="5735" s="259" customFormat="1"/>
    <row r="5736" s="259" customFormat="1"/>
    <row r="5737" s="259" customFormat="1"/>
    <row r="5738" s="259" customFormat="1"/>
    <row r="5739" s="259" customFormat="1"/>
    <row r="5740" s="259" customFormat="1"/>
    <row r="5741" s="259" customFormat="1"/>
    <row r="5742" s="259" customFormat="1"/>
    <row r="5743" s="259" customFormat="1"/>
    <row r="5744" s="259" customFormat="1"/>
    <row r="5745" s="259" customFormat="1"/>
    <row r="5746" s="259" customFormat="1"/>
    <row r="5747" s="259" customFormat="1"/>
    <row r="5748" s="259" customFormat="1"/>
    <row r="5749" s="259" customFormat="1"/>
    <row r="5750" s="259" customFormat="1"/>
    <row r="5751" s="259" customFormat="1"/>
    <row r="5752" s="259" customFormat="1"/>
    <row r="5753" s="259" customFormat="1"/>
    <row r="5754" s="259" customFormat="1"/>
    <row r="5755" s="259" customFormat="1"/>
    <row r="5756" s="259" customFormat="1"/>
    <row r="5757" s="259" customFormat="1"/>
    <row r="5758" s="259" customFormat="1"/>
    <row r="5759" s="259" customFormat="1"/>
    <row r="5760" s="259" customFormat="1"/>
    <row r="5761" s="259" customFormat="1"/>
    <row r="5762" s="259" customFormat="1"/>
    <row r="5763" s="259" customFormat="1"/>
    <row r="5764" s="259" customFormat="1"/>
    <row r="5765" s="259" customFormat="1"/>
    <row r="5766" s="259" customFormat="1"/>
    <row r="5767" s="259" customFormat="1"/>
    <row r="5768" s="259" customFormat="1"/>
    <row r="5769" s="259" customFormat="1"/>
    <row r="5770" s="259" customFormat="1"/>
    <row r="5771" s="259" customFormat="1"/>
    <row r="5772" s="259" customFormat="1"/>
    <row r="5773" s="259" customFormat="1"/>
    <row r="5774" s="259" customFormat="1"/>
    <row r="5775" s="259" customFormat="1"/>
    <row r="5776" s="259" customFormat="1"/>
    <row r="5777" s="259" customFormat="1"/>
    <row r="5778" s="259" customFormat="1"/>
    <row r="5779" s="259" customFormat="1"/>
    <row r="5780" s="259" customFormat="1"/>
    <row r="5781" s="259" customFormat="1"/>
    <row r="5782" s="259" customFormat="1"/>
    <row r="5783" s="259" customFormat="1"/>
    <row r="5784" s="259" customFormat="1"/>
    <row r="5785" s="259" customFormat="1"/>
    <row r="5786" s="259" customFormat="1"/>
    <row r="5787" s="259" customFormat="1"/>
    <row r="5788" s="259" customFormat="1"/>
    <row r="5789" s="259" customFormat="1"/>
    <row r="5790" s="259" customFormat="1"/>
    <row r="5791" s="259" customFormat="1"/>
    <row r="5792" s="259" customFormat="1"/>
    <row r="5793" s="259" customFormat="1"/>
    <row r="5794" s="259" customFormat="1"/>
    <row r="5795" s="259" customFormat="1"/>
    <row r="5796" s="259" customFormat="1"/>
    <row r="5797" s="259" customFormat="1"/>
    <row r="5798" s="259" customFormat="1"/>
    <row r="5799" s="259" customFormat="1"/>
    <row r="5800" s="259" customFormat="1"/>
    <row r="5801" s="259" customFormat="1"/>
    <row r="5802" s="259" customFormat="1"/>
    <row r="5803" s="259" customFormat="1"/>
    <row r="5804" s="259" customFormat="1"/>
    <row r="5805" s="259" customFormat="1"/>
    <row r="5806" s="259" customFormat="1"/>
    <row r="5807" s="259" customFormat="1"/>
    <row r="5808" s="259" customFormat="1"/>
    <row r="5809" s="259" customFormat="1"/>
    <row r="5810" s="259" customFormat="1"/>
    <row r="5811" s="259" customFormat="1"/>
    <row r="5812" s="259" customFormat="1"/>
    <row r="5813" s="259" customFormat="1"/>
    <row r="5814" s="259" customFormat="1"/>
    <row r="5815" s="259" customFormat="1"/>
    <row r="5816" s="259" customFormat="1"/>
    <row r="5817" s="259" customFormat="1"/>
    <row r="5818" s="259" customFormat="1"/>
    <row r="5819" s="259" customFormat="1"/>
    <row r="5820" s="259" customFormat="1"/>
    <row r="5821" s="259" customFormat="1"/>
    <row r="5822" s="259" customFormat="1"/>
    <row r="5823" s="259" customFormat="1"/>
    <row r="5824" s="259" customFormat="1"/>
    <row r="5825" s="259" customFormat="1"/>
    <row r="5826" s="259" customFormat="1"/>
    <row r="5827" s="259" customFormat="1"/>
    <row r="5828" s="259" customFormat="1"/>
    <row r="5829" s="259" customFormat="1"/>
    <row r="5830" s="259" customFormat="1"/>
    <row r="5831" s="259" customFormat="1"/>
    <row r="5832" s="259" customFormat="1"/>
    <row r="5833" s="259" customFormat="1"/>
    <row r="5834" s="259" customFormat="1"/>
    <row r="5835" s="259" customFormat="1"/>
    <row r="5836" s="259" customFormat="1"/>
    <row r="5837" s="259" customFormat="1"/>
    <row r="5838" s="259" customFormat="1"/>
    <row r="5839" s="259" customFormat="1"/>
    <row r="5840" s="259" customFormat="1"/>
    <row r="5841" s="259" customFormat="1"/>
    <row r="5842" s="259" customFormat="1"/>
    <row r="5843" s="259" customFormat="1"/>
    <row r="5844" s="259" customFormat="1"/>
    <row r="5845" s="259" customFormat="1"/>
    <row r="5846" s="259" customFormat="1"/>
    <row r="5847" s="259" customFormat="1"/>
    <row r="5848" s="259" customFormat="1"/>
    <row r="5849" s="259" customFormat="1"/>
    <row r="5850" s="259" customFormat="1"/>
    <row r="5851" s="259" customFormat="1"/>
    <row r="5852" s="259" customFormat="1"/>
    <row r="5853" s="259" customFormat="1"/>
    <row r="5854" s="259" customFormat="1"/>
    <row r="5855" s="259" customFormat="1"/>
    <row r="5856" s="259" customFormat="1"/>
    <row r="5857" s="259" customFormat="1"/>
    <row r="5858" s="259" customFormat="1"/>
    <row r="5859" s="259" customFormat="1"/>
    <row r="5860" s="259" customFormat="1"/>
    <row r="5861" s="259" customFormat="1"/>
    <row r="5862" s="259" customFormat="1"/>
    <row r="5863" s="259" customFormat="1"/>
    <row r="5864" s="259" customFormat="1"/>
    <row r="5865" s="259" customFormat="1"/>
    <row r="5866" s="259" customFormat="1"/>
    <row r="5867" s="259" customFormat="1"/>
    <row r="5868" s="259" customFormat="1"/>
    <row r="5869" s="259" customFormat="1"/>
    <row r="5870" s="259" customFormat="1"/>
    <row r="5871" s="259" customFormat="1"/>
    <row r="5872" s="259" customFormat="1"/>
    <row r="5873" s="259" customFormat="1"/>
    <row r="5874" s="259" customFormat="1"/>
    <row r="5875" s="259" customFormat="1"/>
    <row r="5876" s="259" customFormat="1"/>
    <row r="5877" s="259" customFormat="1"/>
    <row r="5878" s="259" customFormat="1"/>
    <row r="5879" s="259" customFormat="1"/>
    <row r="5880" s="259" customFormat="1"/>
    <row r="5881" s="259" customFormat="1"/>
    <row r="5882" s="259" customFormat="1"/>
    <row r="5883" s="259" customFormat="1"/>
    <row r="5884" s="259" customFormat="1"/>
    <row r="5885" s="259" customFormat="1"/>
    <row r="5886" s="259" customFormat="1"/>
    <row r="5887" s="259" customFormat="1"/>
    <row r="5888" s="259" customFormat="1"/>
    <row r="5889" s="259" customFormat="1"/>
    <row r="5890" s="259" customFormat="1"/>
    <row r="5891" s="259" customFormat="1"/>
    <row r="5892" s="259" customFormat="1"/>
    <row r="5893" s="259" customFormat="1"/>
    <row r="5894" s="259" customFormat="1"/>
    <row r="5895" s="259" customFormat="1"/>
    <row r="5896" s="259" customFormat="1"/>
    <row r="5897" s="259" customFormat="1"/>
    <row r="5898" s="259" customFormat="1"/>
    <row r="5899" s="259" customFormat="1"/>
    <row r="5900" s="259" customFormat="1"/>
    <row r="5901" s="259" customFormat="1"/>
    <row r="5902" s="259" customFormat="1"/>
    <row r="5903" s="259" customFormat="1"/>
    <row r="5904" s="259" customFormat="1"/>
    <row r="5905" s="259" customFormat="1"/>
    <row r="5906" s="259" customFormat="1"/>
    <row r="5907" s="259" customFormat="1"/>
    <row r="5908" s="259" customFormat="1"/>
    <row r="5909" s="259" customFormat="1"/>
    <row r="5910" s="259" customFormat="1"/>
    <row r="5911" s="259" customFormat="1"/>
    <row r="5912" s="259" customFormat="1"/>
    <row r="5913" s="259" customFormat="1"/>
    <row r="5914" s="259" customFormat="1"/>
    <row r="5915" s="259" customFormat="1"/>
    <row r="5916" s="259" customFormat="1"/>
    <row r="5917" s="259" customFormat="1"/>
    <row r="5918" s="259" customFormat="1"/>
    <row r="5919" s="259" customFormat="1"/>
    <row r="5920" s="259" customFormat="1"/>
    <row r="5921" s="259" customFormat="1"/>
    <row r="5922" s="259" customFormat="1"/>
    <row r="5923" s="259" customFormat="1"/>
    <row r="5924" s="259" customFormat="1"/>
    <row r="5925" s="259" customFormat="1"/>
    <row r="5926" s="259" customFormat="1"/>
    <row r="5927" s="259" customFormat="1"/>
    <row r="5928" s="259" customFormat="1"/>
    <row r="5929" s="259" customFormat="1"/>
    <row r="5930" s="259" customFormat="1"/>
    <row r="5931" s="259" customFormat="1"/>
    <row r="5932" s="259" customFormat="1"/>
    <row r="5933" s="259" customFormat="1"/>
    <row r="5934" s="259" customFormat="1"/>
    <row r="5935" s="259" customFormat="1"/>
    <row r="5936" s="259" customFormat="1"/>
    <row r="5937" s="259" customFormat="1"/>
    <row r="5938" s="259" customFormat="1"/>
    <row r="5939" s="259" customFormat="1"/>
    <row r="5940" s="259" customFormat="1"/>
    <row r="5941" s="259" customFormat="1"/>
    <row r="5942" s="259" customFormat="1"/>
    <row r="5943" s="259" customFormat="1"/>
    <row r="5944" s="259" customFormat="1"/>
    <row r="5945" s="259" customFormat="1"/>
    <row r="5946" s="259" customFormat="1"/>
    <row r="5947" s="259" customFormat="1"/>
    <row r="5948" s="259" customFormat="1"/>
    <row r="5949" s="259" customFormat="1"/>
    <row r="5950" s="259" customFormat="1"/>
    <row r="5951" s="259" customFormat="1"/>
    <row r="5952" s="259" customFormat="1"/>
    <row r="5953" s="259" customFormat="1"/>
    <row r="5954" s="259" customFormat="1"/>
    <row r="5955" s="259" customFormat="1"/>
    <row r="5956" s="259" customFormat="1"/>
    <row r="5957" s="259" customFormat="1"/>
    <row r="5958" s="259" customFormat="1"/>
    <row r="5959" s="259" customFormat="1"/>
    <row r="5960" s="259" customFormat="1"/>
    <row r="5961" s="259" customFormat="1"/>
    <row r="5962" s="259" customFormat="1"/>
    <row r="5963" s="259" customFormat="1"/>
    <row r="5964" s="259" customFormat="1"/>
    <row r="5965" s="259" customFormat="1"/>
    <row r="5966" s="259" customFormat="1"/>
    <row r="5967" s="259" customFormat="1"/>
    <row r="5968" s="259" customFormat="1"/>
    <row r="5969" s="259" customFormat="1"/>
    <row r="5970" s="259" customFormat="1"/>
    <row r="5971" s="259" customFormat="1"/>
    <row r="5972" s="259" customFormat="1"/>
    <row r="5973" s="259" customFormat="1"/>
    <row r="5974" s="259" customFormat="1"/>
    <row r="5975" s="259" customFormat="1"/>
    <row r="5976" s="259" customFormat="1"/>
    <row r="5977" s="259" customFormat="1"/>
    <row r="5978" s="259" customFormat="1"/>
    <row r="5979" s="259" customFormat="1"/>
    <row r="5980" s="259" customFormat="1"/>
    <row r="5981" s="259" customFormat="1"/>
    <row r="5982" s="259" customFormat="1"/>
    <row r="5983" s="259" customFormat="1"/>
    <row r="5984" s="259" customFormat="1"/>
    <row r="5985" s="259" customFormat="1"/>
    <row r="5986" s="259" customFormat="1"/>
    <row r="5987" s="259" customFormat="1"/>
    <row r="5988" s="259" customFormat="1"/>
    <row r="5989" s="259" customFormat="1"/>
    <row r="5990" s="259" customFormat="1"/>
    <row r="5991" s="259" customFormat="1"/>
    <row r="5992" s="259" customFormat="1"/>
    <row r="5993" s="259" customFormat="1"/>
    <row r="5994" s="259" customFormat="1"/>
    <row r="5995" s="259" customFormat="1"/>
    <row r="5996" s="259" customFormat="1"/>
    <row r="5997" s="259" customFormat="1"/>
    <row r="5998" s="259" customFormat="1"/>
    <row r="5999" s="259" customFormat="1"/>
    <row r="6000" s="259" customFormat="1"/>
    <row r="6001" s="259" customFormat="1"/>
    <row r="6002" s="259" customFormat="1"/>
    <row r="6003" s="259" customFormat="1"/>
    <row r="6004" s="259" customFormat="1"/>
    <row r="6005" s="259" customFormat="1"/>
    <row r="6006" s="259" customFormat="1"/>
    <row r="6007" s="259" customFormat="1"/>
    <row r="6008" s="259" customFormat="1"/>
    <row r="6009" s="259" customFormat="1"/>
    <row r="6010" s="259" customFormat="1"/>
    <row r="6011" s="259" customFormat="1"/>
    <row r="6012" s="259" customFormat="1"/>
    <row r="6013" s="259" customFormat="1"/>
    <row r="6014" s="259" customFormat="1"/>
    <row r="6015" s="259" customFormat="1"/>
    <row r="6016" s="259" customFormat="1"/>
    <row r="6017" s="259" customFormat="1"/>
    <row r="6018" s="259" customFormat="1"/>
    <row r="6019" s="259" customFormat="1"/>
    <row r="6020" s="259" customFormat="1"/>
    <row r="6021" s="259" customFormat="1"/>
    <row r="6022" s="259" customFormat="1"/>
    <row r="6023" s="259" customFormat="1"/>
    <row r="6024" s="259" customFormat="1"/>
    <row r="6025" s="259" customFormat="1"/>
    <row r="6026" s="259" customFormat="1"/>
    <row r="6027" s="259" customFormat="1"/>
    <row r="6028" s="259" customFormat="1"/>
    <row r="6029" s="259" customFormat="1"/>
    <row r="6030" s="259" customFormat="1"/>
    <row r="6031" s="259" customFormat="1"/>
    <row r="6032" s="259" customFormat="1"/>
    <row r="6033" s="259" customFormat="1"/>
    <row r="6034" s="259" customFormat="1"/>
    <row r="6035" s="259" customFormat="1"/>
    <row r="6036" s="259" customFormat="1"/>
    <row r="6037" s="259" customFormat="1"/>
    <row r="6038" s="259" customFormat="1"/>
    <row r="6039" s="259" customFormat="1"/>
    <row r="6040" s="259" customFormat="1"/>
    <row r="6041" s="259" customFormat="1"/>
    <row r="6042" s="259" customFormat="1"/>
    <row r="6043" s="259" customFormat="1"/>
    <row r="6044" s="259" customFormat="1"/>
    <row r="6045" s="259" customFormat="1"/>
    <row r="6046" s="259" customFormat="1"/>
    <row r="6047" s="259" customFormat="1"/>
    <row r="6048" s="259" customFormat="1"/>
    <row r="6049" s="259" customFormat="1"/>
    <row r="6050" s="259" customFormat="1"/>
    <row r="6051" s="259" customFormat="1"/>
    <row r="6052" s="259" customFormat="1"/>
    <row r="6053" s="259" customFormat="1"/>
    <row r="6054" s="259" customFormat="1"/>
    <row r="6055" s="259" customFormat="1"/>
    <row r="6056" s="259" customFormat="1"/>
    <row r="6057" s="259" customFormat="1"/>
    <row r="6058" s="259" customFormat="1"/>
    <row r="6059" s="259" customFormat="1"/>
    <row r="6060" s="259" customFormat="1"/>
    <row r="6061" s="259" customFormat="1"/>
    <row r="6062" s="259" customFormat="1"/>
    <row r="6063" s="259" customFormat="1"/>
    <row r="6064" s="259" customFormat="1"/>
    <row r="6065" s="259" customFormat="1"/>
    <row r="6066" s="259" customFormat="1"/>
    <row r="6067" s="259" customFormat="1"/>
    <row r="6068" s="259" customFormat="1"/>
    <row r="6069" s="259" customFormat="1"/>
    <row r="6070" s="259" customFormat="1"/>
    <row r="6071" s="259" customFormat="1"/>
    <row r="6072" s="259" customFormat="1"/>
    <row r="6073" s="259" customFormat="1"/>
    <row r="6074" s="259" customFormat="1"/>
    <row r="6075" s="259" customFormat="1"/>
    <row r="6076" s="259" customFormat="1"/>
    <row r="6077" s="259" customFormat="1"/>
    <row r="6078" s="259" customFormat="1"/>
    <row r="6079" s="259" customFormat="1"/>
    <row r="6080" s="259" customFormat="1"/>
    <row r="6081" s="259" customFormat="1"/>
    <row r="6082" s="259" customFormat="1"/>
    <row r="6083" s="259" customFormat="1"/>
    <row r="6084" s="259" customFormat="1"/>
    <row r="6085" s="259" customFormat="1"/>
    <row r="6086" s="259" customFormat="1"/>
    <row r="6087" s="259" customFormat="1"/>
    <row r="6088" s="259" customFormat="1"/>
    <row r="6089" s="259" customFormat="1"/>
    <row r="6090" s="259" customFormat="1"/>
    <row r="6091" s="259" customFormat="1"/>
    <row r="6092" s="259" customFormat="1"/>
    <row r="6093" s="259" customFormat="1"/>
    <row r="6094" s="259" customFormat="1"/>
    <row r="6095" s="259" customFormat="1"/>
    <row r="6096" s="259" customFormat="1"/>
    <row r="6097" s="259" customFormat="1"/>
    <row r="6098" s="259" customFormat="1"/>
    <row r="6099" s="259" customFormat="1"/>
    <row r="6100" s="259" customFormat="1"/>
    <row r="6101" s="259" customFormat="1"/>
    <row r="6102" s="259" customFormat="1"/>
    <row r="6103" s="259" customFormat="1"/>
    <row r="6104" s="259" customFormat="1"/>
    <row r="6105" s="259" customFormat="1"/>
    <row r="6106" s="259" customFormat="1"/>
    <row r="6107" s="259" customFormat="1"/>
    <row r="6108" s="259" customFormat="1"/>
    <row r="6109" s="259" customFormat="1"/>
    <row r="6110" s="259" customFormat="1"/>
    <row r="6111" s="259" customFormat="1"/>
    <row r="6112" s="259" customFormat="1"/>
    <row r="6113" s="259" customFormat="1"/>
    <row r="6114" s="259" customFormat="1"/>
    <row r="6115" s="259" customFormat="1"/>
    <row r="6116" s="259" customFormat="1"/>
    <row r="6117" s="259" customFormat="1"/>
    <row r="6118" s="259" customFormat="1"/>
    <row r="6119" s="259" customFormat="1"/>
    <row r="6120" s="259" customFormat="1"/>
    <row r="6121" s="259" customFormat="1"/>
    <row r="6122" s="259" customFormat="1"/>
    <row r="6123" s="259" customFormat="1"/>
    <row r="6124" s="259" customFormat="1"/>
    <row r="6125" s="259" customFormat="1"/>
    <row r="6126" s="259" customFormat="1"/>
    <row r="6127" s="259" customFormat="1"/>
    <row r="6128" s="259" customFormat="1"/>
    <row r="6129" s="259" customFormat="1"/>
    <row r="6130" s="259" customFormat="1"/>
    <row r="6131" s="259" customFormat="1"/>
    <row r="6132" s="259" customFormat="1"/>
    <row r="6133" s="259" customFormat="1"/>
    <row r="6134" s="259" customFormat="1"/>
    <row r="6135" s="259" customFormat="1"/>
    <row r="6136" s="259" customFormat="1"/>
    <row r="6137" s="259" customFormat="1"/>
    <row r="6138" s="259" customFormat="1"/>
    <row r="6139" s="259" customFormat="1"/>
    <row r="6140" s="259" customFormat="1"/>
    <row r="6141" s="259" customFormat="1"/>
    <row r="6142" s="259" customFormat="1"/>
    <row r="6143" s="259" customFormat="1"/>
    <row r="6144" s="259" customFormat="1"/>
    <row r="6145" s="259" customFormat="1"/>
    <row r="6146" s="259" customFormat="1"/>
    <row r="6147" s="259" customFormat="1"/>
    <row r="6148" s="259" customFormat="1"/>
    <row r="6149" s="259" customFormat="1"/>
    <row r="6150" s="259" customFormat="1"/>
    <row r="6151" s="259" customFormat="1"/>
    <row r="6152" s="259" customFormat="1"/>
    <row r="6153" s="259" customFormat="1"/>
    <row r="6154" s="259" customFormat="1"/>
    <row r="6155" s="259" customFormat="1"/>
    <row r="6156" s="259" customFormat="1"/>
    <row r="6157" s="259" customFormat="1"/>
    <row r="6158" s="259" customFormat="1"/>
    <row r="6159" s="259" customFormat="1"/>
    <row r="6160" s="259" customFormat="1"/>
    <row r="6161" s="259" customFormat="1"/>
    <row r="6162" s="259" customFormat="1"/>
    <row r="6163" s="259" customFormat="1"/>
    <row r="6164" s="259" customFormat="1"/>
    <row r="6165" s="259" customFormat="1"/>
    <row r="6166" s="259" customFormat="1"/>
    <row r="6167" s="259" customFormat="1"/>
    <row r="6168" s="259" customFormat="1"/>
    <row r="6169" s="259" customFormat="1"/>
    <row r="6170" s="259" customFormat="1"/>
    <row r="6171" s="259" customFormat="1"/>
    <row r="6172" s="259" customFormat="1"/>
    <row r="6173" s="259" customFormat="1"/>
    <row r="6174" s="259" customFormat="1"/>
    <row r="6175" s="259" customFormat="1"/>
    <row r="6176" s="259" customFormat="1"/>
    <row r="6177" s="259" customFormat="1"/>
    <row r="6178" s="259" customFormat="1"/>
    <row r="6179" s="259" customFormat="1"/>
    <row r="6180" s="259" customFormat="1"/>
    <row r="6181" s="259" customFormat="1"/>
    <row r="6182" s="259" customFormat="1"/>
    <row r="6183" s="259" customFormat="1"/>
    <row r="6184" s="259" customFormat="1"/>
    <row r="6185" s="259" customFormat="1"/>
    <row r="6186" s="259" customFormat="1"/>
    <row r="6187" s="259" customFormat="1"/>
    <row r="6188" s="259" customFormat="1"/>
    <row r="6189" s="259" customFormat="1"/>
    <row r="6190" s="259" customFormat="1"/>
    <row r="6191" s="259" customFormat="1"/>
    <row r="6192" s="259" customFormat="1"/>
    <row r="6193" s="259" customFormat="1"/>
    <row r="6194" s="259" customFormat="1"/>
    <row r="6195" s="259" customFormat="1"/>
    <row r="6196" s="259" customFormat="1"/>
    <row r="6197" s="259" customFormat="1"/>
    <row r="6198" s="259" customFormat="1"/>
    <row r="6199" s="259" customFormat="1"/>
    <row r="6200" s="259" customFormat="1"/>
    <row r="6201" s="259" customFormat="1"/>
    <row r="6202" s="259" customFormat="1"/>
    <row r="6203" s="259" customFormat="1"/>
    <row r="6204" s="259" customFormat="1"/>
    <row r="6205" s="259" customFormat="1"/>
    <row r="6206" s="259" customFormat="1"/>
    <row r="6207" s="259" customFormat="1"/>
    <row r="6208" s="259" customFormat="1"/>
    <row r="6209" s="259" customFormat="1"/>
    <row r="6210" s="259" customFormat="1"/>
    <row r="6211" s="259" customFormat="1"/>
    <row r="6212" s="259" customFormat="1"/>
    <row r="6213" s="259" customFormat="1"/>
    <row r="6214" s="259" customFormat="1"/>
    <row r="6215" s="259" customFormat="1"/>
    <row r="6216" s="259" customFormat="1"/>
    <row r="6217" s="259" customFormat="1"/>
    <row r="6218" s="259" customFormat="1"/>
    <row r="6219" s="259" customFormat="1"/>
    <row r="6220" s="259" customFormat="1"/>
    <row r="6221" s="259" customFormat="1"/>
    <row r="6222" s="259" customFormat="1"/>
    <row r="6223" s="259" customFormat="1"/>
    <row r="6224" s="259" customFormat="1"/>
    <row r="6225" s="259" customFormat="1"/>
    <row r="6226" s="259" customFormat="1"/>
    <row r="6227" s="259" customFormat="1"/>
    <row r="6228" s="259" customFormat="1"/>
    <row r="6229" s="259" customFormat="1"/>
    <row r="6230" s="259" customFormat="1"/>
    <row r="6231" s="259" customFormat="1"/>
    <row r="6232" s="259" customFormat="1"/>
    <row r="6233" s="259" customFormat="1"/>
    <row r="6234" s="259" customFormat="1"/>
    <row r="6235" s="259" customFormat="1"/>
    <row r="6236" s="259" customFormat="1"/>
    <row r="6237" s="259" customFormat="1"/>
    <row r="6238" s="259" customFormat="1"/>
    <row r="6239" s="259" customFormat="1"/>
    <row r="6240" s="259" customFormat="1"/>
    <row r="6241" s="259" customFormat="1"/>
    <row r="6242" s="259" customFormat="1"/>
    <row r="6243" s="259" customFormat="1"/>
    <row r="6244" s="259" customFormat="1"/>
    <row r="6245" s="259" customFormat="1"/>
    <row r="6246" s="259" customFormat="1"/>
    <row r="6247" s="259" customFormat="1"/>
    <row r="6248" s="259" customFormat="1"/>
    <row r="6249" s="259" customFormat="1"/>
    <row r="6250" s="259" customFormat="1"/>
    <row r="6251" s="259" customFormat="1"/>
    <row r="6252" s="259" customFormat="1"/>
    <row r="6253" s="259" customFormat="1"/>
    <row r="6254" s="259" customFormat="1"/>
    <row r="6255" s="259" customFormat="1"/>
    <row r="6256" s="259" customFormat="1"/>
    <row r="6257" s="259" customFormat="1"/>
    <row r="6258" s="259" customFormat="1"/>
    <row r="6259" s="259" customFormat="1"/>
    <row r="6260" s="259" customFormat="1"/>
    <row r="6261" s="259" customFormat="1"/>
    <row r="6262" s="259" customFormat="1"/>
    <row r="6263" s="259" customFormat="1"/>
    <row r="6264" s="259" customFormat="1"/>
    <row r="6265" s="259" customFormat="1"/>
    <row r="6266" s="259" customFormat="1"/>
    <row r="6267" s="259" customFormat="1"/>
    <row r="6268" s="259" customFormat="1"/>
    <row r="6269" s="259" customFormat="1"/>
    <row r="6270" s="259" customFormat="1"/>
    <row r="6271" s="259" customFormat="1"/>
    <row r="6272" s="259" customFormat="1"/>
    <row r="6273" s="259" customFormat="1"/>
    <row r="6274" s="259" customFormat="1"/>
    <row r="6275" s="259" customFormat="1"/>
    <row r="6276" s="259" customFormat="1"/>
    <row r="6277" s="259" customFormat="1"/>
    <row r="6278" s="259" customFormat="1"/>
    <row r="6279" s="259" customFormat="1"/>
    <row r="6280" s="259" customFormat="1"/>
    <row r="6281" s="259" customFormat="1"/>
    <row r="6282" s="259" customFormat="1"/>
    <row r="6283" s="259" customFormat="1"/>
    <row r="6284" s="259" customFormat="1"/>
    <row r="6285" s="259" customFormat="1"/>
    <row r="6286" s="259" customFormat="1"/>
    <row r="6287" s="259" customFormat="1"/>
    <row r="6288" s="259" customFormat="1"/>
    <row r="6289" s="259" customFormat="1"/>
    <row r="6290" s="259" customFormat="1"/>
    <row r="6291" s="259" customFormat="1"/>
    <row r="6292" s="259" customFormat="1"/>
    <row r="6293" s="259" customFormat="1"/>
    <row r="6294" s="259" customFormat="1"/>
    <row r="6295" s="259" customFormat="1"/>
    <row r="6296" s="259" customFormat="1"/>
    <row r="6297" s="259" customFormat="1"/>
    <row r="6298" s="259" customFormat="1"/>
    <row r="6299" s="259" customFormat="1"/>
    <row r="6300" s="259" customFormat="1"/>
    <row r="6301" s="259" customFormat="1"/>
    <row r="6302" s="259" customFormat="1"/>
    <row r="6303" s="259" customFormat="1"/>
    <row r="6304" s="259" customFormat="1"/>
    <row r="6305" s="259" customFormat="1"/>
    <row r="6306" s="259" customFormat="1"/>
    <row r="6307" s="259" customFormat="1"/>
    <row r="6308" s="259" customFormat="1"/>
    <row r="6309" s="259" customFormat="1"/>
    <row r="6310" s="259" customFormat="1"/>
    <row r="6311" s="259" customFormat="1"/>
    <row r="6312" s="259" customFormat="1"/>
    <row r="6313" s="259" customFormat="1"/>
    <row r="6314" s="259" customFormat="1"/>
    <row r="6315" s="259" customFormat="1"/>
    <row r="6316" s="259" customFormat="1"/>
    <row r="6317" s="259" customFormat="1"/>
    <row r="6318" s="259" customFormat="1"/>
    <row r="6319" s="259" customFormat="1"/>
    <row r="6320" s="259" customFormat="1"/>
    <row r="6321" s="259" customFormat="1"/>
    <row r="6322" s="259" customFormat="1"/>
    <row r="6323" s="259" customFormat="1"/>
    <row r="6324" s="259" customFormat="1"/>
    <row r="6325" s="259" customFormat="1"/>
    <row r="6326" s="259" customFormat="1"/>
    <row r="6327" s="259" customFormat="1"/>
    <row r="6328" s="259" customFormat="1"/>
    <row r="6329" s="259" customFormat="1"/>
    <row r="6330" s="259" customFormat="1"/>
    <row r="6331" s="259" customFormat="1"/>
    <row r="6332" s="259" customFormat="1"/>
    <row r="6333" s="259" customFormat="1"/>
    <row r="6334" s="259" customFormat="1"/>
    <row r="6335" s="259" customFormat="1"/>
    <row r="6336" s="259" customFormat="1"/>
    <row r="6337" s="259" customFormat="1"/>
    <row r="6338" s="259" customFormat="1"/>
    <row r="6339" s="259" customFormat="1"/>
    <row r="6340" s="259" customFormat="1"/>
    <row r="6341" s="259" customFormat="1"/>
    <row r="6342" s="259" customFormat="1"/>
    <row r="6343" s="259" customFormat="1"/>
    <row r="6344" s="259" customFormat="1"/>
    <row r="6345" s="259" customFormat="1"/>
    <row r="6346" s="259" customFormat="1"/>
    <row r="6347" s="259" customFormat="1"/>
    <row r="6348" s="259" customFormat="1"/>
    <row r="6349" s="259" customFormat="1"/>
    <row r="6350" s="259" customFormat="1"/>
    <row r="6351" s="259" customFormat="1"/>
    <row r="6352" s="259" customFormat="1"/>
    <row r="6353" s="259" customFormat="1"/>
    <row r="6354" s="259" customFormat="1"/>
    <row r="6355" s="259" customFormat="1"/>
    <row r="6356" s="259" customFormat="1"/>
    <row r="6357" s="259" customFormat="1"/>
    <row r="6358" s="259" customFormat="1"/>
    <row r="6359" s="259" customFormat="1"/>
    <row r="6360" s="259" customFormat="1"/>
    <row r="6361" s="259" customFormat="1"/>
    <row r="6362" s="259" customFormat="1"/>
    <row r="6363" s="259" customFormat="1"/>
    <row r="6364" s="259" customFormat="1"/>
    <row r="6365" s="259" customFormat="1"/>
    <row r="6366" s="259" customFormat="1"/>
    <row r="6367" s="259" customFormat="1"/>
    <row r="6368" s="259" customFormat="1"/>
    <row r="6369" s="259" customFormat="1"/>
    <row r="6370" s="259" customFormat="1"/>
    <row r="6371" s="259" customFormat="1"/>
    <row r="6372" s="259" customFormat="1"/>
    <row r="6373" s="259" customFormat="1"/>
    <row r="6374" s="259" customFormat="1"/>
    <row r="6375" s="259" customFormat="1"/>
    <row r="6376" s="259" customFormat="1"/>
    <row r="6377" s="259" customFormat="1"/>
    <row r="6378" s="259" customFormat="1"/>
    <row r="6379" s="259" customFormat="1"/>
    <row r="6380" s="259" customFormat="1"/>
    <row r="6381" s="259" customFormat="1"/>
    <row r="6382" s="259" customFormat="1"/>
    <row r="6383" s="259" customFormat="1"/>
    <row r="6384" s="259" customFormat="1"/>
    <row r="6385" s="259" customFormat="1"/>
    <row r="6386" s="259" customFormat="1"/>
    <row r="6387" s="259" customFormat="1"/>
    <row r="6388" s="259" customFormat="1"/>
    <row r="6389" s="259" customFormat="1"/>
    <row r="6390" s="259" customFormat="1"/>
    <row r="6391" s="259" customFormat="1"/>
    <row r="6392" s="259" customFormat="1"/>
    <row r="6393" s="259" customFormat="1"/>
    <row r="6394" s="259" customFormat="1"/>
    <row r="6395" s="259" customFormat="1"/>
    <row r="6396" s="259" customFormat="1"/>
    <row r="6397" s="259" customFormat="1"/>
    <row r="6398" s="259" customFormat="1"/>
    <row r="6399" s="259" customFormat="1"/>
    <row r="6400" s="259" customFormat="1"/>
    <row r="6401" s="259" customFormat="1"/>
    <row r="6402" s="259" customFormat="1"/>
    <row r="6403" s="259" customFormat="1"/>
    <row r="6404" s="259" customFormat="1"/>
    <row r="6405" s="259" customFormat="1"/>
    <row r="6406" s="259" customFormat="1"/>
    <row r="6407" s="259" customFormat="1"/>
    <row r="6408" s="259" customFormat="1"/>
    <row r="6409" s="259" customFormat="1"/>
    <row r="6410" s="259" customFormat="1"/>
    <row r="6411" s="259" customFormat="1"/>
    <row r="6412" s="259" customFormat="1"/>
    <row r="6413" s="259" customFormat="1"/>
    <row r="6414" s="259" customFormat="1"/>
    <row r="6415" s="259" customFormat="1"/>
    <row r="6416" s="259" customFormat="1"/>
    <row r="6417" s="259" customFormat="1"/>
    <row r="6418" s="259" customFormat="1"/>
    <row r="6419" s="259" customFormat="1"/>
    <row r="6420" s="259" customFormat="1"/>
    <row r="6421" s="259" customFormat="1"/>
    <row r="6422" s="259" customFormat="1"/>
    <row r="6423" s="259" customFormat="1"/>
    <row r="6424" s="259" customFormat="1"/>
    <row r="6425" s="259" customFormat="1"/>
    <row r="6426" s="259" customFormat="1"/>
    <row r="6427" s="259" customFormat="1"/>
    <row r="6428" s="259" customFormat="1"/>
    <row r="6429" s="259" customFormat="1"/>
    <row r="6430" s="259" customFormat="1"/>
    <row r="6431" s="259" customFormat="1"/>
    <row r="6432" s="259" customFormat="1"/>
    <row r="6433" s="259" customFormat="1"/>
    <row r="6434" s="259" customFormat="1"/>
    <row r="6435" s="259" customFormat="1"/>
    <row r="6436" s="259" customFormat="1"/>
    <row r="6437" s="259" customFormat="1"/>
    <row r="6438" s="259" customFormat="1"/>
    <row r="6439" s="259" customFormat="1"/>
    <row r="6440" s="259" customFormat="1"/>
    <row r="6441" s="259" customFormat="1"/>
    <row r="6442" s="259" customFormat="1"/>
    <row r="6443" s="259" customFormat="1"/>
    <row r="6444" s="259" customFormat="1"/>
    <row r="6445" s="259" customFormat="1"/>
    <row r="6446" s="259" customFormat="1"/>
    <row r="6447" s="259" customFormat="1"/>
    <row r="6448" s="259" customFormat="1"/>
    <row r="6449" s="259" customFormat="1"/>
    <row r="6450" s="259" customFormat="1"/>
    <row r="6451" s="259" customFormat="1"/>
    <row r="6452" s="259" customFormat="1"/>
    <row r="6453" s="259" customFormat="1"/>
    <row r="6454" s="259" customFormat="1"/>
    <row r="6455" s="259" customFormat="1"/>
    <row r="6456" s="259" customFormat="1"/>
    <row r="6457" s="259" customFormat="1"/>
    <row r="6458" s="259" customFormat="1"/>
    <row r="6459" s="259" customFormat="1"/>
    <row r="6460" s="259" customFormat="1"/>
    <row r="6461" s="259" customFormat="1"/>
    <row r="6462" s="259" customFormat="1"/>
    <row r="6463" s="259" customFormat="1"/>
    <row r="6464" s="259" customFormat="1"/>
    <row r="6465" s="259" customFormat="1"/>
    <row r="6466" s="259" customFormat="1"/>
    <row r="6467" s="259" customFormat="1"/>
    <row r="6468" s="259" customFormat="1"/>
    <row r="6469" s="259" customFormat="1"/>
    <row r="6470" s="259" customFormat="1"/>
    <row r="6471" s="259" customFormat="1"/>
    <row r="6472" s="259" customFormat="1"/>
    <row r="6473" s="259" customFormat="1"/>
    <row r="6474" s="259" customFormat="1"/>
    <row r="6475" s="259" customFormat="1"/>
    <row r="6476" s="259" customFormat="1"/>
    <row r="6477" s="259" customFormat="1"/>
    <row r="6478" s="259" customFormat="1"/>
    <row r="6479" s="259" customFormat="1"/>
    <row r="6480" s="259" customFormat="1"/>
    <row r="6481" s="259" customFormat="1"/>
    <row r="6482" s="259" customFormat="1"/>
    <row r="6483" s="259" customFormat="1"/>
    <row r="6484" s="259" customFormat="1"/>
    <row r="6485" s="259" customFormat="1"/>
    <row r="6486" s="259" customFormat="1"/>
    <row r="6487" s="259" customFormat="1"/>
    <row r="6488" s="259" customFormat="1"/>
    <row r="6489" s="259" customFormat="1"/>
    <row r="6490" s="259" customFormat="1"/>
    <row r="6491" s="259" customFormat="1"/>
    <row r="6492" s="259" customFormat="1"/>
    <row r="6493" s="259" customFormat="1"/>
    <row r="6494" s="259" customFormat="1"/>
    <row r="6495" s="259" customFormat="1"/>
    <row r="6496" s="259" customFormat="1"/>
    <row r="6497" s="259" customFormat="1"/>
    <row r="6498" s="259" customFormat="1"/>
    <row r="6499" s="259" customFormat="1"/>
    <row r="6500" s="259" customFormat="1"/>
    <row r="6501" s="259" customFormat="1"/>
    <row r="6502" s="259" customFormat="1"/>
    <row r="6503" s="259" customFormat="1"/>
    <row r="6504" s="259" customFormat="1"/>
    <row r="6505" s="259" customFormat="1"/>
    <row r="6506" s="259" customFormat="1"/>
    <row r="6507" s="259" customFormat="1"/>
    <row r="6508" s="259" customFormat="1"/>
    <row r="6509" s="259" customFormat="1"/>
    <row r="6510" s="259" customFormat="1"/>
    <row r="6511" s="259" customFormat="1"/>
    <row r="6512" s="259" customFormat="1"/>
    <row r="6513" s="259" customFormat="1"/>
    <row r="6514" s="259" customFormat="1"/>
    <row r="6515" s="259" customFormat="1"/>
    <row r="6516" s="259" customFormat="1"/>
    <row r="6517" s="259" customFormat="1"/>
    <row r="6518" s="259" customFormat="1"/>
    <row r="6519" s="259" customFormat="1"/>
    <row r="6520" s="259" customFormat="1"/>
    <row r="6521" s="259" customFormat="1"/>
    <row r="6522" s="259" customFormat="1"/>
    <row r="6523" s="259" customFormat="1"/>
    <row r="6524" s="259" customFormat="1"/>
    <row r="6525" s="259" customFormat="1"/>
    <row r="6526" s="259" customFormat="1"/>
    <row r="6527" s="259" customFormat="1"/>
    <row r="6528" s="259" customFormat="1"/>
    <row r="6529" s="259" customFormat="1"/>
    <row r="6530" s="259" customFormat="1"/>
    <row r="6531" s="259" customFormat="1"/>
    <row r="6532" s="259" customFormat="1"/>
    <row r="6533" s="259" customFormat="1"/>
    <row r="6534" s="259" customFormat="1"/>
    <row r="6535" s="259" customFormat="1"/>
    <row r="6536" s="259" customFormat="1"/>
    <row r="6537" s="259" customFormat="1"/>
    <row r="6538" s="259" customFormat="1"/>
    <row r="6539" s="259" customFormat="1"/>
    <row r="6540" s="259" customFormat="1"/>
    <row r="6541" s="259" customFormat="1"/>
    <row r="6542" s="259" customFormat="1"/>
    <row r="6543" s="259" customFormat="1"/>
    <row r="6544" s="259" customFormat="1"/>
    <row r="6545" s="259" customFormat="1"/>
    <row r="6546" s="259" customFormat="1"/>
    <row r="6547" s="259" customFormat="1"/>
    <row r="6548" s="259" customFormat="1"/>
    <row r="6549" s="259" customFormat="1"/>
    <row r="6550" s="259" customFormat="1"/>
    <row r="6551" s="259" customFormat="1"/>
    <row r="6552" s="259" customFormat="1"/>
    <row r="6553" s="259" customFormat="1"/>
    <row r="6554" s="259" customFormat="1"/>
    <row r="6555" s="259" customFormat="1"/>
    <row r="6556" s="259" customFormat="1"/>
    <row r="6557" s="259" customFormat="1"/>
    <row r="6558" s="259" customFormat="1"/>
    <row r="6559" s="259" customFormat="1"/>
    <row r="6560" s="259" customFormat="1"/>
    <row r="6561" s="259" customFormat="1"/>
    <row r="6562" s="259" customFormat="1"/>
    <row r="6563" s="259" customFormat="1"/>
    <row r="6564" s="259" customFormat="1"/>
    <row r="6565" s="259" customFormat="1"/>
    <row r="6566" s="259" customFormat="1"/>
    <row r="6567" s="259" customFormat="1"/>
    <row r="6568" s="259" customFormat="1"/>
    <row r="6569" s="259" customFormat="1"/>
    <row r="6570" s="259" customFormat="1"/>
    <row r="6571" s="259" customFormat="1"/>
    <row r="6572" s="259" customFormat="1"/>
    <row r="6573" s="259" customFormat="1"/>
    <row r="6574" s="259" customFormat="1"/>
    <row r="6575" s="259" customFormat="1"/>
    <row r="6576" s="259" customFormat="1"/>
    <row r="6577" s="259" customFormat="1"/>
    <row r="6578" s="259" customFormat="1"/>
    <row r="6579" s="259" customFormat="1"/>
    <row r="6580" s="259" customFormat="1"/>
    <row r="6581" s="259" customFormat="1"/>
    <row r="6582" s="259" customFormat="1"/>
    <row r="6583" s="259" customFormat="1"/>
    <row r="6584" s="259" customFormat="1"/>
    <row r="6585" s="259" customFormat="1"/>
    <row r="6586" s="259" customFormat="1"/>
    <row r="6587" s="259" customFormat="1"/>
    <row r="6588" s="259" customFormat="1"/>
    <row r="6589" s="259" customFormat="1"/>
    <row r="6590" s="259" customFormat="1"/>
    <row r="6591" s="259" customFormat="1"/>
    <row r="6592" s="259" customFormat="1"/>
    <row r="6593" s="259" customFormat="1"/>
    <row r="6594" s="259" customFormat="1"/>
    <row r="6595" s="259" customFormat="1"/>
    <row r="6596" s="259" customFormat="1"/>
    <row r="6597" s="259" customFormat="1"/>
    <row r="6598" s="259" customFormat="1"/>
    <row r="6599" s="259" customFormat="1"/>
    <row r="6600" s="259" customFormat="1"/>
    <row r="6601" s="259" customFormat="1"/>
    <row r="6602" s="259" customFormat="1"/>
    <row r="6603" s="259" customFormat="1"/>
    <row r="6604" s="259" customFormat="1"/>
    <row r="6605" s="259" customFormat="1"/>
    <row r="6606" s="259" customFormat="1"/>
    <row r="6607" s="259" customFormat="1"/>
    <row r="6608" s="259" customFormat="1"/>
    <row r="6609" s="259" customFormat="1"/>
    <row r="6610" s="259" customFormat="1"/>
    <row r="6611" s="259" customFormat="1"/>
    <row r="6612" s="259" customFormat="1"/>
    <row r="6613" s="259" customFormat="1"/>
    <row r="6614" s="259" customFormat="1"/>
    <row r="6615" s="259" customFormat="1"/>
    <row r="6616" s="259" customFormat="1"/>
    <row r="6617" s="259" customFormat="1"/>
    <row r="6618" s="259" customFormat="1"/>
    <row r="6619" s="259" customFormat="1"/>
    <row r="6620" s="259" customFormat="1"/>
    <row r="6621" s="259" customFormat="1"/>
    <row r="6622" s="259" customFormat="1"/>
    <row r="6623" s="259" customFormat="1"/>
    <row r="6624" s="259" customFormat="1"/>
    <row r="6625" s="259" customFormat="1"/>
    <row r="6626" s="259" customFormat="1"/>
    <row r="6627" s="259" customFormat="1"/>
    <row r="6628" s="259" customFormat="1"/>
    <row r="6629" s="259" customFormat="1"/>
    <row r="6630" s="259" customFormat="1"/>
    <row r="6631" s="259" customFormat="1"/>
    <row r="6632" s="259" customFormat="1"/>
    <row r="6633" s="259" customFormat="1"/>
    <row r="6634" s="259" customFormat="1"/>
    <row r="6635" s="259" customFormat="1"/>
    <row r="6636" s="259" customFormat="1"/>
    <row r="6637" s="259" customFormat="1"/>
    <row r="6638" s="259" customFormat="1"/>
    <row r="6639" s="259" customFormat="1"/>
    <row r="6640" s="259" customFormat="1"/>
    <row r="6641" s="259" customFormat="1"/>
    <row r="6642" s="259" customFormat="1"/>
    <row r="6643" s="259" customFormat="1"/>
    <row r="6644" s="259" customFormat="1"/>
    <row r="6645" s="259" customFormat="1"/>
    <row r="6646" s="259" customFormat="1"/>
    <row r="6647" s="259" customFormat="1"/>
    <row r="6648" s="259" customFormat="1"/>
    <row r="6649" s="259" customFormat="1"/>
    <row r="6650" s="259" customFormat="1"/>
    <row r="6651" s="259" customFormat="1"/>
    <row r="6652" s="259" customFormat="1"/>
    <row r="6653" s="259" customFormat="1"/>
    <row r="6654" s="259" customFormat="1"/>
    <row r="6655" s="259" customFormat="1"/>
    <row r="6656" s="259" customFormat="1"/>
    <row r="6657" s="259" customFormat="1"/>
    <row r="6658" s="259" customFormat="1"/>
    <row r="6659" s="259" customFormat="1"/>
    <row r="6660" s="259" customFormat="1"/>
    <row r="6661" s="259" customFormat="1"/>
    <row r="6662" s="259" customFormat="1"/>
    <row r="6663" s="259" customFormat="1"/>
    <row r="6664" s="259" customFormat="1"/>
    <row r="6665" s="259" customFormat="1"/>
    <row r="6666" s="259" customFormat="1"/>
    <row r="6667" s="259" customFormat="1"/>
    <row r="6668" s="259" customFormat="1"/>
    <row r="6669" s="259" customFormat="1"/>
    <row r="6670" s="259" customFormat="1"/>
    <row r="6671" s="259" customFormat="1"/>
    <row r="6672" s="259" customFormat="1"/>
    <row r="6673" s="259" customFormat="1"/>
    <row r="6674" s="259" customFormat="1"/>
    <row r="6675" s="259" customFormat="1"/>
    <row r="6676" s="259" customFormat="1"/>
    <row r="6677" s="259" customFormat="1"/>
    <row r="6678" s="259" customFormat="1"/>
    <row r="6679" s="259" customFormat="1"/>
    <row r="6680" s="259" customFormat="1"/>
    <row r="6681" s="259" customFormat="1"/>
    <row r="6682" s="259" customFormat="1"/>
    <row r="6683" s="259" customFormat="1"/>
    <row r="6684" s="259" customFormat="1"/>
    <row r="6685" s="259" customFormat="1"/>
    <row r="6686" s="259" customFormat="1"/>
    <row r="6687" s="259" customFormat="1"/>
    <row r="6688" s="259" customFormat="1"/>
    <row r="6689" s="259" customFormat="1"/>
    <row r="6690" s="259" customFormat="1"/>
    <row r="6691" s="259" customFormat="1"/>
    <row r="6692" s="259" customFormat="1"/>
    <row r="6693" s="259" customFormat="1"/>
    <row r="6694" s="259" customFormat="1"/>
    <row r="6695" s="259" customFormat="1"/>
    <row r="6696" s="259" customFormat="1"/>
    <row r="6697" s="259" customFormat="1"/>
    <row r="6698" s="259" customFormat="1"/>
    <row r="6699" s="259" customFormat="1"/>
    <row r="6700" s="259" customFormat="1"/>
    <row r="6701" s="259" customFormat="1"/>
    <row r="6702" s="259" customFormat="1"/>
    <row r="6703" s="259" customFormat="1"/>
    <row r="6704" s="259" customFormat="1"/>
    <row r="6705" s="259" customFormat="1"/>
    <row r="6706" s="259" customFormat="1"/>
    <row r="6707" s="259" customFormat="1"/>
    <row r="6708" s="259" customFormat="1"/>
    <row r="6709" s="259" customFormat="1"/>
    <row r="6710" s="259" customFormat="1"/>
    <row r="6711" s="259" customFormat="1"/>
    <row r="6712" s="259" customFormat="1"/>
    <row r="6713" s="259" customFormat="1"/>
    <row r="6714" s="259" customFormat="1"/>
    <row r="6715" s="259" customFormat="1"/>
    <row r="6716" s="259" customFormat="1"/>
    <row r="6717" s="259" customFormat="1"/>
    <row r="6718" s="259" customFormat="1"/>
    <row r="6719" s="259" customFormat="1"/>
    <row r="6720" s="259" customFormat="1"/>
    <row r="6721" s="259" customFormat="1"/>
    <row r="6722" s="259" customFormat="1"/>
    <row r="6723" s="259" customFormat="1"/>
    <row r="6724" s="259" customFormat="1"/>
    <row r="6725" s="259" customFormat="1"/>
    <row r="6726" s="259" customFormat="1"/>
    <row r="6727" s="259" customFormat="1"/>
    <row r="6728" s="259" customFormat="1"/>
    <row r="6729" s="259" customFormat="1"/>
    <row r="6730" s="259" customFormat="1"/>
    <row r="6731" s="259" customFormat="1"/>
    <row r="6732" s="259" customFormat="1"/>
    <row r="6733" s="259" customFormat="1"/>
    <row r="6734" s="259" customFormat="1"/>
    <row r="6735" s="259" customFormat="1"/>
    <row r="6736" s="259" customFormat="1"/>
    <row r="6737" s="259" customFormat="1"/>
    <row r="6738" s="259" customFormat="1"/>
    <row r="6739" s="259" customFormat="1"/>
    <row r="6740" s="259" customFormat="1"/>
    <row r="6741" s="259" customFormat="1"/>
    <row r="6742" s="259" customFormat="1"/>
    <row r="6743" s="259" customFormat="1"/>
    <row r="6744" s="259" customFormat="1"/>
    <row r="6745" s="259" customFormat="1"/>
    <row r="6746" s="259" customFormat="1"/>
    <row r="6747" s="259" customFormat="1"/>
    <row r="6748" s="259" customFormat="1"/>
    <row r="6749" s="259" customFormat="1"/>
    <row r="6750" s="259" customFormat="1"/>
    <row r="6751" s="259" customFormat="1"/>
    <row r="6752" s="259" customFormat="1"/>
    <row r="6753" s="259" customFormat="1"/>
    <row r="6754" s="259" customFormat="1"/>
    <row r="6755" s="259" customFormat="1"/>
    <row r="6756" s="259" customFormat="1"/>
    <row r="6757" s="259" customFormat="1"/>
    <row r="6758" s="259" customFormat="1"/>
    <row r="6759" s="259" customFormat="1"/>
    <row r="6760" s="259" customFormat="1"/>
    <row r="6761" s="259" customFormat="1"/>
    <row r="6762" s="259" customFormat="1"/>
    <row r="6763" s="259" customFormat="1"/>
    <row r="6764" s="259" customFormat="1"/>
    <row r="6765" s="259" customFormat="1"/>
    <row r="6766" s="259" customFormat="1"/>
    <row r="6767" s="259" customFormat="1"/>
    <row r="6768" s="259" customFormat="1"/>
    <row r="6769" s="259" customFormat="1"/>
    <row r="6770" s="259" customFormat="1"/>
    <row r="6771" s="259" customFormat="1"/>
    <row r="6772" s="259" customFormat="1"/>
    <row r="6773" s="259" customFormat="1"/>
    <row r="6774" s="259" customFormat="1"/>
    <row r="6775" s="259" customFormat="1"/>
    <row r="6776" s="259" customFormat="1"/>
    <row r="6777" s="259" customFormat="1"/>
    <row r="6778" s="259" customFormat="1"/>
    <row r="6779" s="259" customFormat="1"/>
    <row r="6780" s="259" customFormat="1"/>
    <row r="6781" s="259" customFormat="1"/>
    <row r="6782" s="259" customFormat="1"/>
    <row r="6783" s="259" customFormat="1"/>
    <row r="6784" s="259" customFormat="1"/>
    <row r="6785" s="259" customFormat="1"/>
    <row r="6786" s="259" customFormat="1"/>
    <row r="6787" s="259" customFormat="1"/>
    <row r="6788" s="259" customFormat="1"/>
    <row r="6789" s="259" customFormat="1"/>
    <row r="6790" s="259" customFormat="1"/>
    <row r="6791" s="259" customFormat="1"/>
    <row r="6792" s="259" customFormat="1"/>
    <row r="6793" s="259" customFormat="1"/>
    <row r="6794" s="259" customFormat="1"/>
    <row r="6795" s="259" customFormat="1"/>
    <row r="6796" s="259" customFormat="1"/>
    <row r="6797" s="259" customFormat="1"/>
    <row r="6798" s="259" customFormat="1"/>
    <row r="6799" s="259" customFormat="1"/>
    <row r="6800" s="259" customFormat="1"/>
    <row r="6801" s="259" customFormat="1"/>
    <row r="6802" s="259" customFormat="1"/>
    <row r="6803" s="259" customFormat="1"/>
    <row r="6804" s="259" customFormat="1"/>
    <row r="6805" s="259" customFormat="1"/>
    <row r="6806" s="259" customFormat="1"/>
    <row r="6807" s="259" customFormat="1"/>
    <row r="6808" s="259" customFormat="1"/>
    <row r="6809" s="259" customFormat="1"/>
    <row r="6810" s="259" customFormat="1"/>
    <row r="6811" s="259" customFormat="1"/>
    <row r="6812" s="259" customFormat="1"/>
    <row r="6813" s="259" customFormat="1"/>
    <row r="6814" s="259" customFormat="1"/>
    <row r="6815" s="259" customFormat="1"/>
    <row r="6816" s="259" customFormat="1"/>
    <row r="6817" s="259" customFormat="1"/>
    <row r="6818" s="259" customFormat="1"/>
    <row r="6819" s="259" customFormat="1"/>
    <row r="6820" s="259" customFormat="1"/>
    <row r="6821" s="259" customFormat="1"/>
    <row r="6822" s="259" customFormat="1"/>
    <row r="6823" s="259" customFormat="1"/>
    <row r="6824" s="259" customFormat="1"/>
    <row r="6825" s="259" customFormat="1"/>
    <row r="6826" s="259" customFormat="1"/>
    <row r="6827" s="259" customFormat="1"/>
    <row r="6828" s="259" customFormat="1"/>
    <row r="6829" s="259" customFormat="1"/>
    <row r="6830" s="259" customFormat="1"/>
    <row r="6831" s="259" customFormat="1"/>
    <row r="6832" s="259" customFormat="1"/>
    <row r="6833" s="259" customFormat="1"/>
    <row r="6834" s="259" customFormat="1"/>
    <row r="6835" s="259" customFormat="1"/>
    <row r="6836" s="259" customFormat="1"/>
    <row r="6837" s="259" customFormat="1"/>
    <row r="6838" s="259" customFormat="1"/>
    <row r="6839" s="259" customFormat="1"/>
    <row r="6840" s="259" customFormat="1"/>
    <row r="6841" s="259" customFormat="1"/>
    <row r="6842" s="259" customFormat="1"/>
    <row r="6843" s="259" customFormat="1"/>
    <row r="6844" s="259" customFormat="1"/>
    <row r="6845" s="259" customFormat="1"/>
    <row r="6846" s="259" customFormat="1"/>
    <row r="6847" s="259" customFormat="1"/>
    <row r="6848" s="259" customFormat="1"/>
    <row r="6849" s="259" customFormat="1"/>
    <row r="6850" s="259" customFormat="1"/>
    <row r="6851" s="259" customFormat="1"/>
    <row r="6852" s="259" customFormat="1"/>
    <row r="6853" s="259" customFormat="1"/>
    <row r="6854" s="259" customFormat="1"/>
    <row r="6855" s="259" customFormat="1"/>
    <row r="6856" s="259" customFormat="1"/>
    <row r="6857" s="259" customFormat="1"/>
    <row r="6858" s="259" customFormat="1"/>
    <row r="6859" s="259" customFormat="1"/>
    <row r="6860" s="259" customFormat="1"/>
    <row r="6861" s="259" customFormat="1"/>
    <row r="6862" s="259" customFormat="1"/>
    <row r="6863" s="259" customFormat="1"/>
    <row r="6864" s="259" customFormat="1"/>
    <row r="6865" s="259" customFormat="1"/>
    <row r="6866" s="259" customFormat="1"/>
    <row r="6867" s="259" customFormat="1"/>
    <row r="6868" s="259" customFormat="1"/>
    <row r="6869" s="259" customFormat="1"/>
    <row r="6870" s="259" customFormat="1"/>
    <row r="6871" s="259" customFormat="1"/>
    <row r="6872" s="259" customFormat="1"/>
    <row r="6873" s="259" customFormat="1"/>
    <row r="6874" s="259" customFormat="1"/>
    <row r="6875" s="259" customFormat="1"/>
    <row r="6876" s="259" customFormat="1"/>
    <row r="6877" s="259" customFormat="1"/>
    <row r="6878" s="259" customFormat="1"/>
    <row r="6879" s="259" customFormat="1"/>
    <row r="6880" s="259" customFormat="1"/>
    <row r="6881" s="259" customFormat="1"/>
    <row r="6882" s="259" customFormat="1"/>
    <row r="6883" s="259" customFormat="1"/>
    <row r="6884" s="259" customFormat="1"/>
    <row r="6885" s="259" customFormat="1"/>
    <row r="6886" s="259" customFormat="1"/>
    <row r="6887" s="259" customFormat="1"/>
    <row r="6888" s="259" customFormat="1"/>
    <row r="6889" s="259" customFormat="1"/>
    <row r="6890" s="259" customFormat="1"/>
    <row r="6891" s="259" customFormat="1"/>
    <row r="6892" s="259" customFormat="1"/>
    <row r="6893" s="259" customFormat="1"/>
    <row r="6894" s="259" customFormat="1"/>
    <row r="6895" s="259" customFormat="1"/>
    <row r="6896" s="259" customFormat="1"/>
    <row r="6897" s="259" customFormat="1"/>
    <row r="6898" s="259" customFormat="1"/>
    <row r="6899" s="259" customFormat="1"/>
    <row r="6900" s="259" customFormat="1"/>
    <row r="6901" s="259" customFormat="1"/>
    <row r="6902" s="259" customFormat="1"/>
    <row r="6903" s="259" customFormat="1"/>
    <row r="6904" s="259" customFormat="1"/>
    <row r="6905" s="259" customFormat="1"/>
    <row r="6906" s="259" customFormat="1"/>
    <row r="6907" s="259" customFormat="1"/>
    <row r="6908" s="259" customFormat="1"/>
    <row r="6909" s="259" customFormat="1"/>
    <row r="6910" s="259" customFormat="1"/>
    <row r="6911" s="259" customFormat="1"/>
    <row r="6912" s="259" customFormat="1"/>
    <row r="6913" s="259" customFormat="1"/>
    <row r="6914" s="259" customFormat="1"/>
    <row r="6915" s="259" customFormat="1"/>
    <row r="6916" s="259" customFormat="1"/>
    <row r="6917" s="259" customFormat="1"/>
    <row r="6918" s="259" customFormat="1"/>
    <row r="6919" s="259" customFormat="1"/>
    <row r="6920" s="259" customFormat="1"/>
    <row r="6921" s="259" customFormat="1"/>
    <row r="6922" s="259" customFormat="1"/>
    <row r="6923" s="259" customFormat="1"/>
    <row r="6924" s="259" customFormat="1"/>
    <row r="6925" s="259" customFormat="1"/>
    <row r="6926" s="259" customFormat="1"/>
    <row r="6927" s="259" customFormat="1"/>
    <row r="6928" s="259" customFormat="1"/>
    <row r="6929" s="259" customFormat="1"/>
    <row r="6930" s="259" customFormat="1"/>
    <row r="6931" s="259" customFormat="1"/>
    <row r="6932" s="259" customFormat="1"/>
    <row r="6933" s="259" customFormat="1"/>
    <row r="6934" s="259" customFormat="1"/>
    <row r="6935" s="259" customFormat="1"/>
    <row r="6936" s="259" customFormat="1"/>
    <row r="6937" s="259" customFormat="1"/>
    <row r="6938" s="259" customFormat="1"/>
    <row r="6939" s="259" customFormat="1"/>
    <row r="6940" s="259" customFormat="1"/>
    <row r="6941" s="259" customFormat="1"/>
    <row r="6942" s="259" customFormat="1"/>
    <row r="6943" s="259" customFormat="1"/>
    <row r="6944" s="259" customFormat="1"/>
    <row r="6945" s="259" customFormat="1"/>
    <row r="6946" s="259" customFormat="1"/>
    <row r="6947" s="259" customFormat="1"/>
    <row r="6948" s="259" customFormat="1"/>
    <row r="6949" s="259" customFormat="1"/>
    <row r="6950" s="259" customFormat="1"/>
    <row r="6951" s="259" customFormat="1"/>
    <row r="6952" s="259" customFormat="1"/>
    <row r="6953" s="259" customFormat="1"/>
    <row r="6954" s="259" customFormat="1"/>
    <row r="6955" s="259" customFormat="1"/>
    <row r="6956" s="259" customFormat="1"/>
    <row r="6957" s="259" customFormat="1"/>
    <row r="6958" s="259" customFormat="1"/>
    <row r="6959" s="259" customFormat="1"/>
    <row r="6960" s="259" customFormat="1"/>
    <row r="6961" s="259" customFormat="1"/>
    <row r="6962" s="259" customFormat="1"/>
    <row r="6963" s="259" customFormat="1"/>
    <row r="6964" s="259" customFormat="1"/>
    <row r="6965" s="259" customFormat="1"/>
    <row r="6966" s="259" customFormat="1"/>
    <row r="6967" s="259" customFormat="1"/>
    <row r="6968" s="259" customFormat="1"/>
    <row r="6969" s="259" customFormat="1"/>
    <row r="6970" s="259" customFormat="1"/>
    <row r="6971" s="259" customFormat="1"/>
    <row r="6972" s="259" customFormat="1"/>
    <row r="6973" s="259" customFormat="1"/>
    <row r="6974" s="259" customFormat="1"/>
    <row r="6975" s="259" customFormat="1"/>
    <row r="6976" s="259" customFormat="1"/>
    <row r="6977" s="259" customFormat="1"/>
    <row r="6978" s="259" customFormat="1"/>
    <row r="6979" s="259" customFormat="1"/>
    <row r="6980" s="259" customFormat="1"/>
    <row r="6981" s="259" customFormat="1"/>
    <row r="6982" s="259" customFormat="1"/>
    <row r="6983" s="259" customFormat="1"/>
    <row r="6984" s="259" customFormat="1"/>
    <row r="6985" s="259" customFormat="1"/>
    <row r="6986" s="259" customFormat="1"/>
    <row r="6987" s="259" customFormat="1"/>
    <row r="6988" s="259" customFormat="1"/>
    <row r="6989" s="259" customFormat="1"/>
    <row r="6990" s="259" customFormat="1"/>
    <row r="6991" s="259" customFormat="1"/>
    <row r="6992" s="259" customFormat="1"/>
    <row r="6993" s="259" customFormat="1"/>
    <row r="6994" s="259" customFormat="1"/>
    <row r="6995" s="259" customFormat="1"/>
    <row r="6996" s="259" customFormat="1"/>
    <row r="6997" s="259" customFormat="1"/>
    <row r="6998" s="259" customFormat="1"/>
    <row r="6999" s="259" customFormat="1"/>
    <row r="7000" s="259" customFormat="1"/>
    <row r="7001" s="259" customFormat="1"/>
    <row r="7002" s="259" customFormat="1"/>
    <row r="7003" s="259" customFormat="1"/>
    <row r="7004" s="259" customFormat="1"/>
    <row r="7005" s="259" customFormat="1"/>
    <row r="7006" s="259" customFormat="1"/>
    <row r="7007" s="259" customFormat="1"/>
    <row r="7008" s="259" customFormat="1"/>
    <row r="7009" s="259" customFormat="1"/>
    <row r="7010" s="259" customFormat="1"/>
    <row r="7011" s="259" customFormat="1"/>
    <row r="7012" s="259" customFormat="1"/>
    <row r="7013" s="259" customFormat="1"/>
    <row r="7014" s="259" customFormat="1"/>
    <row r="7015" s="259" customFormat="1"/>
    <row r="7016" s="259" customFormat="1"/>
    <row r="7017" s="259" customFormat="1"/>
    <row r="7018" s="259" customFormat="1"/>
    <row r="7019" s="259" customFormat="1"/>
    <row r="7020" s="259" customFormat="1"/>
    <row r="7021" s="259" customFormat="1"/>
    <row r="7022" s="259" customFormat="1"/>
    <row r="7023" s="259" customFormat="1"/>
    <row r="7024" s="259" customFormat="1"/>
    <row r="7025" s="259" customFormat="1"/>
    <row r="7026" s="259" customFormat="1"/>
    <row r="7027" s="259" customFormat="1"/>
    <row r="7028" s="259" customFormat="1"/>
    <row r="7029" s="259" customFormat="1"/>
    <row r="7030" s="259" customFormat="1"/>
    <row r="7031" s="259" customFormat="1"/>
    <row r="7032" s="259" customFormat="1"/>
    <row r="7033" s="259" customFormat="1"/>
    <row r="7034" s="259" customFormat="1"/>
    <row r="7035" s="259" customFormat="1"/>
    <row r="7036" s="259" customFormat="1"/>
    <row r="7037" s="259" customFormat="1"/>
    <row r="7038" s="259" customFormat="1"/>
    <row r="7039" s="259" customFormat="1"/>
    <row r="7040" s="259" customFormat="1"/>
    <row r="7041" s="259" customFormat="1"/>
    <row r="7042" s="259" customFormat="1"/>
    <row r="7043" s="259" customFormat="1"/>
    <row r="7044" s="259" customFormat="1"/>
    <row r="7045" s="259" customFormat="1"/>
    <row r="7046" s="259" customFormat="1"/>
    <row r="7047" s="259" customFormat="1"/>
    <row r="7048" s="259" customFormat="1"/>
    <row r="7049" s="259" customFormat="1"/>
    <row r="7050" s="259" customFormat="1"/>
    <row r="7051" s="259" customFormat="1"/>
    <row r="7052" s="259" customFormat="1"/>
    <row r="7053" s="259" customFormat="1"/>
    <row r="7054" s="259" customFormat="1"/>
    <row r="7055" s="259" customFormat="1"/>
    <row r="7056" s="259" customFormat="1"/>
    <row r="7057" s="259" customFormat="1"/>
    <row r="7058" s="259" customFormat="1"/>
    <row r="7059" s="259" customFormat="1"/>
    <row r="7060" s="259" customFormat="1"/>
    <row r="7061" s="259" customFormat="1"/>
    <row r="7062" s="259" customFormat="1"/>
    <row r="7063" s="259" customFormat="1"/>
    <row r="7064" s="259" customFormat="1"/>
    <row r="7065" s="259" customFormat="1"/>
    <row r="7066" s="259" customFormat="1"/>
    <row r="7067" s="259" customFormat="1"/>
    <row r="7068" s="259" customFormat="1"/>
    <row r="7069" s="259" customFormat="1"/>
    <row r="7070" s="259" customFormat="1"/>
    <row r="7071" s="259" customFormat="1"/>
    <row r="7072" s="259" customFormat="1"/>
    <row r="7073" s="259" customFormat="1"/>
    <row r="7074" s="259" customFormat="1"/>
    <row r="7075" s="259" customFormat="1"/>
    <row r="7076" s="259" customFormat="1"/>
    <row r="7077" s="259" customFormat="1"/>
    <row r="7078" s="259" customFormat="1"/>
    <row r="7079" s="259" customFormat="1"/>
    <row r="7080" s="259" customFormat="1"/>
    <row r="7081" s="259" customFormat="1"/>
    <row r="7082" s="259" customFormat="1"/>
    <row r="7083" s="259" customFormat="1"/>
    <row r="7084" s="259" customFormat="1"/>
    <row r="7085" s="259" customFormat="1"/>
    <row r="7086" s="259" customFormat="1"/>
    <row r="7087" s="259" customFormat="1"/>
    <row r="7088" s="259" customFormat="1"/>
    <row r="7089" s="259" customFormat="1"/>
    <row r="7090" s="259" customFormat="1"/>
    <row r="7091" s="259" customFormat="1"/>
    <row r="7092" s="259" customFormat="1"/>
    <row r="7093" s="259" customFormat="1"/>
    <row r="7094" s="259" customFormat="1"/>
    <row r="7095" s="259" customFormat="1"/>
    <row r="7096" s="259" customFormat="1"/>
    <row r="7097" s="259" customFormat="1"/>
    <row r="7098" s="259" customFormat="1"/>
    <row r="7099" s="259" customFormat="1"/>
    <row r="7100" s="259" customFormat="1"/>
    <row r="7101" s="259" customFormat="1"/>
    <row r="7102" s="259" customFormat="1"/>
    <row r="7103" s="259" customFormat="1"/>
    <row r="7104" s="259" customFormat="1"/>
    <row r="7105" s="259" customFormat="1"/>
    <row r="7106" s="259" customFormat="1"/>
    <row r="7107" s="259" customFormat="1"/>
    <row r="7108" s="259" customFormat="1"/>
    <row r="7109" s="259" customFormat="1"/>
    <row r="7110" s="259" customFormat="1"/>
    <row r="7111" s="259" customFormat="1"/>
    <row r="7112" s="259" customFormat="1"/>
    <row r="7113" s="259" customFormat="1"/>
    <row r="7114" s="259" customFormat="1"/>
    <row r="7115" s="259" customFormat="1"/>
    <row r="7116" s="259" customFormat="1"/>
    <row r="7117" s="259" customFormat="1"/>
    <row r="7118" s="259" customFormat="1"/>
    <row r="7119" s="259" customFormat="1"/>
    <row r="7120" s="259" customFormat="1"/>
    <row r="7121" s="259" customFormat="1"/>
    <row r="7122" s="259" customFormat="1"/>
    <row r="7123" s="259" customFormat="1"/>
    <row r="7124" s="259" customFormat="1"/>
    <row r="7125" s="259" customFormat="1"/>
    <row r="7126" s="259" customFormat="1"/>
    <row r="7127" s="259" customFormat="1"/>
    <row r="7128" s="259" customFormat="1"/>
    <row r="7129" s="259" customFormat="1"/>
    <row r="7130" s="259" customFormat="1"/>
    <row r="7131" s="259" customFormat="1"/>
    <row r="7132" s="259" customFormat="1"/>
    <row r="7133" s="259" customFormat="1"/>
    <row r="7134" s="259" customFormat="1"/>
    <row r="7135" s="259" customFormat="1"/>
    <row r="7136" s="259" customFormat="1"/>
    <row r="7137" s="259" customFormat="1"/>
    <row r="7138" s="259" customFormat="1"/>
    <row r="7139" s="259" customFormat="1"/>
    <row r="7140" s="259" customFormat="1"/>
    <row r="7141" s="259" customFormat="1"/>
    <row r="7142" s="259" customFormat="1"/>
    <row r="7143" s="259" customFormat="1"/>
    <row r="7144" s="259" customFormat="1"/>
    <row r="7145" s="259" customFormat="1"/>
    <row r="7146" s="259" customFormat="1"/>
    <row r="7147" s="259" customFormat="1"/>
    <row r="7148" s="259" customFormat="1"/>
    <row r="7149" s="259" customFormat="1"/>
    <row r="7150" s="259" customFormat="1"/>
    <row r="7151" s="259" customFormat="1"/>
    <row r="7152" s="259" customFormat="1"/>
    <row r="7153" s="259" customFormat="1"/>
    <row r="7154" s="259" customFormat="1"/>
    <row r="7155" s="259" customFormat="1"/>
    <row r="7156" s="259" customFormat="1"/>
    <row r="7157" s="259" customFormat="1"/>
    <row r="7158" s="259" customFormat="1"/>
    <row r="7159" s="259" customFormat="1"/>
    <row r="7160" s="259" customFormat="1"/>
    <row r="7161" s="259" customFormat="1"/>
    <row r="7162" s="259" customFormat="1"/>
    <row r="7163" s="259" customFormat="1"/>
    <row r="7164" s="259" customFormat="1"/>
    <row r="7165" s="259" customFormat="1"/>
    <row r="7166" s="259" customFormat="1"/>
    <row r="7167" s="259" customFormat="1"/>
    <row r="7168" s="259" customFormat="1"/>
    <row r="7169" s="259" customFormat="1"/>
    <row r="7170" s="259" customFormat="1"/>
    <row r="7171" s="259" customFormat="1"/>
    <row r="7172" s="259" customFormat="1"/>
    <row r="7173" s="259" customFormat="1"/>
    <row r="7174" s="259" customFormat="1"/>
    <row r="7175" s="259" customFormat="1"/>
    <row r="7176" s="259" customFormat="1"/>
    <row r="7177" s="259" customFormat="1"/>
    <row r="7178" s="259" customFormat="1"/>
    <row r="7179" s="259" customFormat="1"/>
    <row r="7180" s="259" customFormat="1"/>
    <row r="7181" s="259" customFormat="1"/>
    <row r="7182" s="259" customFormat="1"/>
    <row r="7183" s="259" customFormat="1"/>
    <row r="7184" s="259" customFormat="1"/>
    <row r="7185" s="259" customFormat="1"/>
    <row r="7186" s="259" customFormat="1"/>
    <row r="7187" s="259" customFormat="1"/>
    <row r="7188" s="259" customFormat="1"/>
    <row r="7189" s="259" customFormat="1"/>
    <row r="7190" s="259" customFormat="1"/>
    <row r="7191" s="259" customFormat="1"/>
    <row r="7192" s="259" customFormat="1"/>
    <row r="7193" s="259" customFormat="1"/>
    <row r="7194" s="259" customFormat="1"/>
    <row r="7195" s="259" customFormat="1"/>
    <row r="7196" s="259" customFormat="1"/>
    <row r="7197" s="259" customFormat="1"/>
    <row r="7198" s="259" customFormat="1"/>
    <row r="7199" s="259" customFormat="1"/>
    <row r="7200" s="259" customFormat="1"/>
    <row r="7201" s="259" customFormat="1"/>
    <row r="7202" s="259" customFormat="1"/>
    <row r="7203" s="259" customFormat="1"/>
    <row r="7204" s="259" customFormat="1"/>
    <row r="7205" s="259" customFormat="1"/>
    <row r="7206" s="259" customFormat="1"/>
    <row r="7207" s="259" customFormat="1"/>
    <row r="7208" s="259" customFormat="1"/>
    <row r="7209" s="259" customFormat="1"/>
    <row r="7210" s="259" customFormat="1"/>
    <row r="7211" s="259" customFormat="1"/>
    <row r="7212" s="259" customFormat="1"/>
    <row r="7213" s="259" customFormat="1"/>
    <row r="7214" s="259" customFormat="1"/>
    <row r="7215" s="259" customFormat="1"/>
    <row r="7216" s="259" customFormat="1"/>
    <row r="7217" s="259" customFormat="1"/>
    <row r="7218" s="259" customFormat="1"/>
    <row r="7219" s="259" customFormat="1"/>
    <row r="7220" s="259" customFormat="1"/>
    <row r="7221" s="259" customFormat="1"/>
    <row r="7222" s="259" customFormat="1"/>
    <row r="7223" s="259" customFormat="1"/>
    <row r="7224" s="259" customFormat="1"/>
    <row r="7225" s="259" customFormat="1"/>
    <row r="7226" s="259" customFormat="1"/>
    <row r="7227" s="259" customFormat="1"/>
    <row r="7228" s="259" customFormat="1"/>
    <row r="7229" s="259" customFormat="1"/>
    <row r="7230" s="259" customFormat="1"/>
    <row r="7231" s="259" customFormat="1"/>
    <row r="7232" s="259" customFormat="1"/>
    <row r="7233" s="259" customFormat="1"/>
    <row r="7234" s="259" customFormat="1"/>
    <row r="7235" s="259" customFormat="1"/>
    <row r="7236" s="259" customFormat="1"/>
    <row r="7237" s="259" customFormat="1"/>
    <row r="7238" s="259" customFormat="1"/>
    <row r="7239" s="259" customFormat="1"/>
    <row r="7240" s="259" customFormat="1"/>
    <row r="7241" s="259" customFormat="1"/>
    <row r="7242" s="259" customFormat="1"/>
    <row r="7243" s="259" customFormat="1"/>
    <row r="7244" s="259" customFormat="1"/>
    <row r="7245" s="259" customFormat="1"/>
    <row r="7246" s="259" customFormat="1"/>
    <row r="7247" s="259" customFormat="1"/>
    <row r="7248" s="259" customFormat="1"/>
    <row r="7249" s="259" customFormat="1"/>
    <row r="7250" s="259" customFormat="1"/>
    <row r="7251" s="259" customFormat="1"/>
    <row r="7252" s="259" customFormat="1"/>
    <row r="7253" s="259" customFormat="1"/>
    <row r="7254" s="259" customFormat="1"/>
    <row r="7255" s="259" customFormat="1"/>
    <row r="7256" s="259" customFormat="1"/>
    <row r="7257" s="259" customFormat="1"/>
    <row r="7258" s="259" customFormat="1"/>
    <row r="7259" s="259" customFormat="1"/>
    <row r="7260" s="259" customFormat="1"/>
    <row r="7261" s="259" customFormat="1"/>
    <row r="7262" s="259" customFormat="1"/>
    <row r="7263" s="259" customFormat="1"/>
    <row r="7264" s="259" customFormat="1"/>
    <row r="7265" s="259" customFormat="1"/>
    <row r="7266" s="259" customFormat="1"/>
    <row r="7267" s="259" customFormat="1"/>
    <row r="7268" s="259" customFormat="1"/>
    <row r="7269" s="259" customFormat="1"/>
    <row r="7270" s="259" customFormat="1"/>
    <row r="7271" s="259" customFormat="1"/>
    <row r="7272" s="259" customFormat="1"/>
    <row r="7273" s="259" customFormat="1"/>
    <row r="7274" s="259" customFormat="1"/>
    <row r="7275" s="259" customFormat="1"/>
    <row r="7276" s="259" customFormat="1"/>
    <row r="7277" s="259" customFormat="1"/>
    <row r="7278" s="259" customFormat="1"/>
    <row r="7279" s="259" customFormat="1"/>
    <row r="7280" s="259" customFormat="1"/>
    <row r="7281" s="259" customFormat="1"/>
    <row r="7282" s="259" customFormat="1"/>
    <row r="7283" s="259" customFormat="1"/>
    <row r="7284" s="259" customFormat="1"/>
    <row r="7285" s="259" customFormat="1"/>
    <row r="7286" s="259" customFormat="1"/>
    <row r="7287" s="259" customFormat="1"/>
    <row r="7288" s="259" customFormat="1"/>
    <row r="7289" s="259" customFormat="1"/>
    <row r="7290" s="259" customFormat="1"/>
    <row r="7291" s="259" customFormat="1"/>
    <row r="7292" s="259" customFormat="1"/>
    <row r="7293" s="259" customFormat="1"/>
    <row r="7294" s="259" customFormat="1"/>
    <row r="7295" s="259" customFormat="1"/>
    <row r="7296" s="259" customFormat="1"/>
    <row r="7297" s="259" customFormat="1"/>
    <row r="7298" s="259" customFormat="1"/>
    <row r="7299" s="259" customFormat="1"/>
    <row r="7300" s="259" customFormat="1"/>
    <row r="7301" s="259" customFormat="1"/>
    <row r="7302" s="259" customFormat="1"/>
    <row r="7303" s="259" customFormat="1"/>
    <row r="7304" s="259" customFormat="1"/>
    <row r="7305" s="259" customFormat="1"/>
    <row r="7306" s="259" customFormat="1"/>
    <row r="7307" s="259" customFormat="1"/>
    <row r="7308" s="259" customFormat="1"/>
    <row r="7309" s="259" customFormat="1"/>
    <row r="7310" s="259" customFormat="1"/>
    <row r="7311" s="259" customFormat="1"/>
    <row r="7312" s="259" customFormat="1"/>
    <row r="7313" s="259" customFormat="1"/>
    <row r="7314" s="259" customFormat="1"/>
    <row r="7315" s="259" customFormat="1"/>
    <row r="7316" s="259" customFormat="1"/>
    <row r="7317" s="259" customFormat="1"/>
    <row r="7318" s="259" customFormat="1"/>
    <row r="7319" s="259" customFormat="1"/>
    <row r="7320" s="259" customFormat="1"/>
    <row r="7321" s="259" customFormat="1"/>
    <row r="7322" s="259" customFormat="1"/>
    <row r="7323" s="259" customFormat="1"/>
    <row r="7324" s="259" customFormat="1"/>
    <row r="7325" s="259" customFormat="1"/>
    <row r="7326" s="259" customFormat="1"/>
    <row r="7327" s="259" customFormat="1"/>
    <row r="7328" s="259" customFormat="1"/>
    <row r="7329" s="259" customFormat="1"/>
    <row r="7330" s="259" customFormat="1"/>
    <row r="7331" s="259" customFormat="1"/>
    <row r="7332" s="259" customFormat="1"/>
    <row r="7333" s="259" customFormat="1"/>
    <row r="7334" s="259" customFormat="1"/>
    <row r="7335" s="259" customFormat="1"/>
    <row r="7336" s="259" customFormat="1"/>
    <row r="7337" s="259" customFormat="1"/>
    <row r="7338" s="259" customFormat="1"/>
    <row r="7339" s="259" customFormat="1"/>
    <row r="7340" s="259" customFormat="1"/>
    <row r="7341" s="259" customFormat="1"/>
    <row r="7342" s="259" customFormat="1"/>
    <row r="7343" s="259" customFormat="1"/>
    <row r="7344" s="259" customFormat="1"/>
    <row r="7345" s="259" customFormat="1"/>
    <row r="7346" s="259" customFormat="1"/>
    <row r="7347" s="259" customFormat="1"/>
    <row r="7348" s="259" customFormat="1"/>
    <row r="7349" s="259" customFormat="1"/>
    <row r="7350" s="259" customFormat="1"/>
    <row r="7351" s="259" customFormat="1"/>
    <row r="7352" s="259" customFormat="1"/>
    <row r="7353" s="259" customFormat="1"/>
    <row r="7354" s="259" customFormat="1"/>
    <row r="7355" s="259" customFormat="1"/>
    <row r="7356" s="259" customFormat="1"/>
    <row r="7357" s="259" customFormat="1"/>
    <row r="7358" s="259" customFormat="1"/>
    <row r="7359" s="259" customFormat="1"/>
    <row r="7360" s="259" customFormat="1"/>
    <row r="7361" s="259" customFormat="1"/>
    <row r="7362" s="259" customFormat="1"/>
    <row r="7363" s="259" customFormat="1"/>
    <row r="7364" s="259" customFormat="1"/>
    <row r="7365" s="259" customFormat="1"/>
    <row r="7366" s="259" customFormat="1"/>
    <row r="7367" s="259" customFormat="1"/>
    <row r="7368" s="259" customFormat="1"/>
    <row r="7369" s="259" customFormat="1"/>
    <row r="7370" s="259" customFormat="1"/>
    <row r="7371" s="259" customFormat="1"/>
    <row r="7372" s="259" customFormat="1"/>
    <row r="7373" s="259" customFormat="1"/>
    <row r="7374" s="259" customFormat="1"/>
    <row r="7375" s="259" customFormat="1"/>
    <row r="7376" s="259" customFormat="1"/>
    <row r="7377" s="259" customFormat="1"/>
    <row r="7378" s="259" customFormat="1"/>
    <row r="7379" s="259" customFormat="1"/>
    <row r="7380" s="259" customFormat="1"/>
    <row r="7381" s="259" customFormat="1"/>
    <row r="7382" s="259" customFormat="1"/>
    <row r="7383" s="259" customFormat="1"/>
    <row r="7384" s="259" customFormat="1"/>
    <row r="7385" s="259" customFormat="1"/>
    <row r="7386" s="259" customFormat="1"/>
    <row r="7387" s="259" customFormat="1"/>
    <row r="7388" s="259" customFormat="1"/>
    <row r="7389" s="259" customFormat="1"/>
    <row r="7390" s="259" customFormat="1"/>
    <row r="7391" s="259" customFormat="1"/>
    <row r="7392" s="259" customFormat="1"/>
    <row r="7393" s="259" customFormat="1"/>
    <row r="7394" s="259" customFormat="1"/>
    <row r="7395" s="259" customFormat="1"/>
    <row r="7396" s="259" customFormat="1"/>
    <row r="7397" s="259" customFormat="1"/>
    <row r="7398" s="259" customFormat="1"/>
    <row r="7399" s="259" customFormat="1"/>
    <row r="7400" s="259" customFormat="1"/>
    <row r="7401" s="259" customFormat="1"/>
    <row r="7402" s="259" customFormat="1"/>
    <row r="7403" s="259" customFormat="1"/>
    <row r="7404" s="259" customFormat="1"/>
    <row r="7405" s="259" customFormat="1"/>
    <row r="7406" s="259" customFormat="1"/>
    <row r="7407" s="259" customFormat="1"/>
    <row r="7408" s="259" customFormat="1"/>
    <row r="7409" s="259" customFormat="1"/>
    <row r="7410" s="259" customFormat="1"/>
    <row r="7411" s="259" customFormat="1"/>
    <row r="7412" s="259" customFormat="1"/>
    <row r="7413" s="259" customFormat="1"/>
    <row r="7414" s="259" customFormat="1"/>
    <row r="7415" s="259" customFormat="1"/>
    <row r="7416" s="259" customFormat="1"/>
    <row r="7417" s="259" customFormat="1"/>
    <row r="7418" s="259" customFormat="1"/>
    <row r="7419" s="259" customFormat="1"/>
    <row r="7420" s="259" customFormat="1"/>
    <row r="7421" s="259" customFormat="1"/>
    <row r="7422" s="259" customFormat="1"/>
    <row r="7423" s="259" customFormat="1"/>
    <row r="7424" s="259" customFormat="1"/>
    <row r="7425" s="259" customFormat="1"/>
    <row r="7426" s="259" customFormat="1"/>
    <row r="7427" s="259" customFormat="1"/>
    <row r="7428" s="259" customFormat="1"/>
    <row r="7429" s="259" customFormat="1"/>
    <row r="7430" s="259" customFormat="1"/>
    <row r="7431" s="259" customFormat="1"/>
    <row r="7432" s="259" customFormat="1"/>
    <row r="7433" s="259" customFormat="1"/>
    <row r="7434" s="259" customFormat="1"/>
    <row r="7435" s="259" customFormat="1"/>
    <row r="7436" s="259" customFormat="1"/>
    <row r="7437" s="259" customFormat="1"/>
    <row r="7438" s="259" customFormat="1"/>
    <row r="7439" s="259" customFormat="1"/>
    <row r="7440" s="259" customFormat="1"/>
    <row r="7441" s="259" customFormat="1"/>
    <row r="7442" s="259" customFormat="1"/>
    <row r="7443" s="259" customFormat="1"/>
    <row r="7444" s="259" customFormat="1"/>
    <row r="7445" s="259" customFormat="1"/>
    <row r="7446" s="259" customFormat="1"/>
    <row r="7447" s="259" customFormat="1"/>
    <row r="7448" s="259" customFormat="1"/>
    <row r="7449" s="259" customFormat="1"/>
    <row r="7450" s="259" customFormat="1"/>
    <row r="7451" s="259" customFormat="1"/>
    <row r="7452" s="259" customFormat="1"/>
    <row r="7453" s="259" customFormat="1"/>
    <row r="7454" s="259" customFormat="1"/>
    <row r="7455" s="259" customFormat="1"/>
    <row r="7456" s="259" customFormat="1"/>
    <row r="7457" s="259" customFormat="1"/>
    <row r="7458" s="259" customFormat="1"/>
    <row r="7459" s="259" customFormat="1"/>
    <row r="7460" s="259" customFormat="1"/>
    <row r="7461" s="259" customFormat="1"/>
    <row r="7462" s="259" customFormat="1"/>
    <row r="7463" s="259" customFormat="1"/>
    <row r="7464" s="259" customFormat="1"/>
    <row r="7465" s="259" customFormat="1"/>
    <row r="7466" s="259" customFormat="1"/>
    <row r="7467" s="259" customFormat="1"/>
    <row r="7468" s="259" customFormat="1"/>
    <row r="7469" s="259" customFormat="1"/>
    <row r="7470" s="259" customFormat="1"/>
    <row r="7471" s="259" customFormat="1"/>
    <row r="7472" s="259" customFormat="1"/>
    <row r="7473" s="259" customFormat="1"/>
    <row r="7474" s="259" customFormat="1"/>
    <row r="7475" s="259" customFormat="1"/>
    <row r="7476" s="259" customFormat="1"/>
    <row r="7477" s="259" customFormat="1"/>
    <row r="7478" s="259" customFormat="1"/>
    <row r="7479" s="259" customFormat="1"/>
    <row r="7480" s="259" customFormat="1"/>
    <row r="7481" s="259" customFormat="1"/>
    <row r="7482" s="259" customFormat="1"/>
    <row r="7483" s="259" customFormat="1"/>
    <row r="7484" s="259" customFormat="1"/>
    <row r="7485" s="259" customFormat="1"/>
    <row r="7486" s="259" customFormat="1"/>
    <row r="7487" s="259" customFormat="1"/>
    <row r="7488" s="259" customFormat="1"/>
    <row r="7489" s="259" customFormat="1"/>
    <row r="7490" s="259" customFormat="1"/>
    <row r="7491" s="259" customFormat="1"/>
    <row r="7492" s="259" customFormat="1"/>
    <row r="7493" s="259" customFormat="1"/>
    <row r="7494" s="259" customFormat="1"/>
    <row r="7495" s="259" customFormat="1"/>
    <row r="7496" s="259" customFormat="1"/>
    <row r="7497" s="259" customFormat="1"/>
    <row r="7498" s="259" customFormat="1"/>
    <row r="7499" s="259" customFormat="1"/>
    <row r="7500" s="259" customFormat="1"/>
    <row r="7501" s="259" customFormat="1"/>
    <row r="7502" s="259" customFormat="1"/>
    <row r="7503" s="259" customFormat="1"/>
    <row r="7504" s="259" customFormat="1"/>
    <row r="7505" s="259" customFormat="1"/>
    <row r="7506" s="259" customFormat="1"/>
    <row r="7507" s="259" customFormat="1"/>
    <row r="7508" s="259" customFormat="1"/>
    <row r="7509" s="259" customFormat="1"/>
    <row r="7510" s="259" customFormat="1"/>
    <row r="7511" s="259" customFormat="1"/>
    <row r="7512" s="259" customFormat="1"/>
    <row r="7513" s="259" customFormat="1"/>
    <row r="7514" s="259" customFormat="1"/>
    <row r="7515" s="259" customFormat="1"/>
    <row r="7516" s="259" customFormat="1"/>
    <row r="7517" s="259" customFormat="1"/>
    <row r="7518" s="259" customFormat="1"/>
    <row r="7519" s="259" customFormat="1"/>
    <row r="7520" s="259" customFormat="1"/>
    <row r="7521" s="259" customFormat="1"/>
    <row r="7522" s="259" customFormat="1"/>
    <row r="7523" s="259" customFormat="1"/>
    <row r="7524" s="259" customFormat="1"/>
    <row r="7525" s="259" customFormat="1"/>
    <row r="7526" s="259" customFormat="1"/>
    <row r="7527" s="259" customFormat="1"/>
    <row r="7528" s="259" customFormat="1"/>
    <row r="7529" s="259" customFormat="1"/>
    <row r="7530" s="259" customFormat="1"/>
    <row r="7531" s="259" customFormat="1"/>
    <row r="7532" s="259" customFormat="1"/>
    <row r="7533" s="259" customFormat="1"/>
    <row r="7534" s="259" customFormat="1"/>
    <row r="7535" s="259" customFormat="1"/>
    <row r="7536" s="259" customFormat="1"/>
    <row r="7537" s="259" customFormat="1"/>
    <row r="7538" s="259" customFormat="1"/>
    <row r="7539" s="259" customFormat="1"/>
    <row r="7540" s="259" customFormat="1"/>
    <row r="7541" s="259" customFormat="1"/>
    <row r="7542" s="259" customFormat="1"/>
    <row r="7543" s="259" customFormat="1"/>
    <row r="7544" s="259" customFormat="1"/>
    <row r="7545" s="259" customFormat="1"/>
    <row r="7546" s="259" customFormat="1"/>
    <row r="7547" s="259" customFormat="1"/>
    <row r="7548" s="259" customFormat="1"/>
    <row r="7549" s="259" customFormat="1"/>
    <row r="7550" s="259" customFormat="1"/>
    <row r="7551" s="259" customFormat="1"/>
    <row r="7552" s="259" customFormat="1"/>
    <row r="7553" s="259" customFormat="1"/>
    <row r="7554" s="259" customFormat="1"/>
    <row r="7555" s="259" customFormat="1"/>
    <row r="7556" s="259" customFormat="1"/>
    <row r="7557" s="259" customFormat="1"/>
    <row r="7558" s="259" customFormat="1"/>
    <row r="7559" s="259" customFormat="1"/>
    <row r="7560" s="259" customFormat="1"/>
    <row r="7561" s="259" customFormat="1"/>
    <row r="7562" s="259" customFormat="1"/>
    <row r="7563" s="259" customFormat="1"/>
    <row r="7564" s="259" customFormat="1"/>
    <row r="7565" s="259" customFormat="1"/>
    <row r="7566" s="259" customFormat="1"/>
    <row r="7567" s="259" customFormat="1"/>
    <row r="7568" s="259" customFormat="1"/>
    <row r="7569" s="259" customFormat="1"/>
    <row r="7570" s="259" customFormat="1"/>
    <row r="7571" s="259" customFormat="1"/>
    <row r="7572" s="259" customFormat="1"/>
    <row r="7573" s="259" customFormat="1"/>
    <row r="7574" s="259" customFormat="1"/>
    <row r="7575" s="259" customFormat="1"/>
    <row r="7576" s="259" customFormat="1"/>
    <row r="7577" s="259" customFormat="1"/>
    <row r="7578" s="259" customFormat="1"/>
    <row r="7579" s="259" customFormat="1"/>
    <row r="7580" s="259" customFormat="1"/>
    <row r="7581" s="259" customFormat="1"/>
    <row r="7582" s="259" customFormat="1"/>
    <row r="7583" s="259" customFormat="1"/>
    <row r="7584" s="259" customFormat="1"/>
    <row r="7585" s="259" customFormat="1"/>
    <row r="7586" s="259" customFormat="1"/>
    <row r="7587" s="259" customFormat="1"/>
    <row r="7588" s="259" customFormat="1"/>
    <row r="7589" s="259" customFormat="1"/>
    <row r="7590" s="259" customFormat="1"/>
    <row r="7591" s="259" customFormat="1"/>
    <row r="7592" s="259" customFormat="1"/>
    <row r="7593" s="259" customFormat="1"/>
    <row r="7594" s="259" customFormat="1"/>
    <row r="7595" s="259" customFormat="1"/>
    <row r="7596" s="259" customFormat="1"/>
    <row r="7597" s="259" customFormat="1"/>
    <row r="7598" s="259" customFormat="1"/>
    <row r="7599" s="259" customFormat="1"/>
    <row r="7600" s="259" customFormat="1"/>
    <row r="7601" s="259" customFormat="1"/>
    <row r="7602" s="259" customFormat="1"/>
    <row r="7603" s="259" customFormat="1"/>
    <row r="7604" s="259" customFormat="1"/>
    <row r="7605" s="259" customFormat="1"/>
    <row r="7606" s="259" customFormat="1"/>
    <row r="7607" s="259" customFormat="1"/>
    <row r="7608" s="259" customFormat="1"/>
    <row r="7609" s="259" customFormat="1"/>
    <row r="7610" s="259" customFormat="1"/>
    <row r="7611" s="259" customFormat="1"/>
    <row r="7612" s="259" customFormat="1"/>
    <row r="7613" s="259" customFormat="1"/>
    <row r="7614" s="259" customFormat="1"/>
    <row r="7615" s="259" customFormat="1"/>
    <row r="7616" s="259" customFormat="1"/>
    <row r="7617" s="259" customFormat="1"/>
    <row r="7618" s="259" customFormat="1"/>
    <row r="7619" s="259" customFormat="1"/>
    <row r="7620" s="259" customFormat="1"/>
    <row r="7621" s="259" customFormat="1"/>
    <row r="7622" s="259" customFormat="1"/>
    <row r="7623" s="259" customFormat="1"/>
    <row r="7624" s="259" customFormat="1"/>
    <row r="7625" s="259" customFormat="1"/>
    <row r="7626" s="259" customFormat="1"/>
    <row r="7627" s="259" customFormat="1"/>
    <row r="7628" s="259" customFormat="1"/>
    <row r="7629" s="259" customFormat="1"/>
    <row r="7630" s="259" customFormat="1"/>
    <row r="7631" s="259" customFormat="1"/>
    <row r="7632" s="259" customFormat="1"/>
    <row r="7633" s="259" customFormat="1"/>
    <row r="7634" s="259" customFormat="1"/>
    <row r="7635" s="259" customFormat="1"/>
    <row r="7636" s="259" customFormat="1"/>
    <row r="7637" s="259" customFormat="1"/>
    <row r="7638" s="259" customFormat="1"/>
    <row r="7639" s="259" customFormat="1"/>
    <row r="7640" s="259" customFormat="1"/>
    <row r="7641" s="259" customFormat="1"/>
    <row r="7642" s="259" customFormat="1"/>
    <row r="7643" s="259" customFormat="1"/>
    <row r="7644" s="259" customFormat="1"/>
    <row r="7645" s="259" customFormat="1"/>
    <row r="7646" s="259" customFormat="1"/>
    <row r="7647" s="259" customFormat="1"/>
    <row r="7648" s="259" customFormat="1"/>
    <row r="7649" s="259" customFormat="1"/>
    <row r="7650" s="259" customFormat="1"/>
    <row r="7651" s="259" customFormat="1"/>
    <row r="7652" s="259" customFormat="1"/>
    <row r="7653" s="259" customFormat="1"/>
    <row r="7654" s="259" customFormat="1"/>
    <row r="7655" s="259" customFormat="1"/>
    <row r="7656" s="259" customFormat="1"/>
    <row r="7657" s="259" customFormat="1"/>
    <row r="7658" s="259" customFormat="1"/>
    <row r="7659" s="259" customFormat="1"/>
    <row r="7660" s="259" customFormat="1"/>
    <row r="7661" s="259" customFormat="1"/>
    <row r="7662" s="259" customFormat="1"/>
    <row r="7663" s="259" customFormat="1"/>
    <row r="7664" s="259" customFormat="1"/>
    <row r="7665" s="259" customFormat="1"/>
    <row r="7666" s="259" customFormat="1"/>
    <row r="7667" s="259" customFormat="1"/>
    <row r="7668" s="259" customFormat="1"/>
    <row r="7669" s="259" customFormat="1"/>
    <row r="7670" s="259" customFormat="1"/>
    <row r="7671" s="259" customFormat="1"/>
    <row r="7672" s="259" customFormat="1"/>
    <row r="7673" s="259" customFormat="1"/>
    <row r="7674" s="259" customFormat="1"/>
    <row r="7675" s="259" customFormat="1"/>
    <row r="7676" s="259" customFormat="1"/>
    <row r="7677" s="259" customFormat="1"/>
    <row r="7678" s="259" customFormat="1"/>
    <row r="7679" s="259" customFormat="1"/>
    <row r="7680" s="259" customFormat="1"/>
    <row r="7681" s="259" customFormat="1"/>
    <row r="7682" s="259" customFormat="1"/>
    <row r="7683" s="259" customFormat="1"/>
    <row r="7684" s="259" customFormat="1"/>
    <row r="7685" s="259" customFormat="1"/>
    <row r="7686" s="259" customFormat="1"/>
    <row r="7687" s="259" customFormat="1"/>
    <row r="7688" s="259" customFormat="1"/>
    <row r="7689" s="259" customFormat="1"/>
    <row r="7690" s="259" customFormat="1"/>
    <row r="7691" s="259" customFormat="1"/>
    <row r="7692" s="259" customFormat="1"/>
    <row r="7693" s="259" customFormat="1"/>
    <row r="7694" s="259" customFormat="1"/>
    <row r="7695" s="259" customFormat="1"/>
    <row r="7696" s="259" customFormat="1"/>
    <row r="7697" s="259" customFormat="1"/>
    <row r="7698" s="259" customFormat="1"/>
    <row r="7699" s="259" customFormat="1"/>
    <row r="7700" s="259" customFormat="1"/>
    <row r="7701" s="259" customFormat="1"/>
    <row r="7702" s="259" customFormat="1"/>
    <row r="7703" s="259" customFormat="1"/>
    <row r="7704" s="259" customFormat="1"/>
    <row r="7705" s="259" customFormat="1"/>
    <row r="7706" s="259" customFormat="1"/>
    <row r="7707" s="259" customFormat="1"/>
    <row r="7708" s="259" customFormat="1"/>
    <row r="7709" s="259" customFormat="1"/>
    <row r="7710" s="259" customFormat="1"/>
    <row r="7711" s="259" customFormat="1"/>
    <row r="7712" s="259" customFormat="1"/>
    <row r="7713" s="259" customFormat="1"/>
    <row r="7714" s="259" customFormat="1"/>
    <row r="7715" s="259" customFormat="1"/>
    <row r="7716" s="259" customFormat="1"/>
    <row r="7717" s="259" customFormat="1"/>
    <row r="7718" s="259" customFormat="1"/>
    <row r="7719" s="259" customFormat="1"/>
    <row r="7720" s="259" customFormat="1"/>
    <row r="7721" s="259" customFormat="1"/>
    <row r="7722" s="259" customFormat="1"/>
    <row r="7723" s="259" customFormat="1"/>
    <row r="7724" s="259" customFormat="1"/>
    <row r="7725" s="259" customFormat="1"/>
    <row r="7726" s="259" customFormat="1"/>
    <row r="7727" s="259" customFormat="1"/>
    <row r="7728" s="259" customFormat="1"/>
    <row r="7729" s="259" customFormat="1"/>
    <row r="7730" s="259" customFormat="1"/>
    <row r="7731" s="259" customFormat="1"/>
    <row r="7732" s="259" customFormat="1"/>
    <row r="7733" s="259" customFormat="1"/>
    <row r="7734" s="259" customFormat="1"/>
    <row r="7735" s="259" customFormat="1"/>
    <row r="7736" s="259" customFormat="1"/>
    <row r="7737" s="259" customFormat="1"/>
    <row r="7738" s="259" customFormat="1"/>
    <row r="7739" s="259" customFormat="1"/>
    <row r="7740" s="259" customFormat="1"/>
    <row r="7741" s="259" customFormat="1"/>
    <row r="7742" s="259" customFormat="1"/>
    <row r="7743" s="259" customFormat="1"/>
    <row r="7744" s="259" customFormat="1"/>
    <row r="7745" s="259" customFormat="1"/>
    <row r="7746" s="259" customFormat="1"/>
    <row r="7747" s="259" customFormat="1"/>
    <row r="7748" s="259" customFormat="1"/>
    <row r="7749" s="259" customFormat="1"/>
    <row r="7750" s="259" customFormat="1"/>
    <row r="7751" s="259" customFormat="1"/>
    <row r="7752" s="259" customFormat="1"/>
    <row r="7753" s="259" customFormat="1"/>
    <row r="7754" s="259" customFormat="1"/>
    <row r="7755" s="259" customFormat="1"/>
    <row r="7756" s="259" customFormat="1"/>
    <row r="7757" s="259" customFormat="1"/>
    <row r="7758" s="259" customFormat="1"/>
    <row r="7759" s="259" customFormat="1"/>
    <row r="7760" s="259" customFormat="1"/>
    <row r="7761" s="259" customFormat="1"/>
    <row r="7762" s="259" customFormat="1"/>
    <row r="7763" s="259" customFormat="1"/>
    <row r="7764" s="259" customFormat="1"/>
    <row r="7765" s="259" customFormat="1"/>
    <row r="7766" s="259" customFormat="1"/>
    <row r="7767" s="259" customFormat="1"/>
    <row r="7768" s="259" customFormat="1"/>
    <row r="7769" s="259" customFormat="1"/>
    <row r="7770" s="259" customFormat="1"/>
    <row r="7771" s="259" customFormat="1"/>
    <row r="7772" s="259" customFormat="1"/>
    <row r="7773" s="259" customFormat="1"/>
    <row r="7774" s="259" customFormat="1"/>
    <row r="7775" s="259" customFormat="1"/>
    <row r="7776" s="259" customFormat="1"/>
    <row r="7777" s="259" customFormat="1"/>
    <row r="7778" s="259" customFormat="1"/>
    <row r="7779" s="259" customFormat="1"/>
    <row r="7780" s="259" customFormat="1"/>
    <row r="7781" s="259" customFormat="1"/>
    <row r="7782" s="259" customFormat="1"/>
    <row r="7783" s="259" customFormat="1"/>
    <row r="7784" s="259" customFormat="1"/>
    <row r="7785" s="259" customFormat="1"/>
    <row r="7786" s="259" customFormat="1"/>
    <row r="7787" s="259" customFormat="1"/>
    <row r="7788" s="259" customFormat="1"/>
    <row r="7789" s="259" customFormat="1"/>
    <row r="7790" s="259" customFormat="1"/>
    <row r="7791" s="259" customFormat="1"/>
    <row r="7792" s="259" customFormat="1"/>
    <row r="7793" s="259" customFormat="1"/>
    <row r="7794" s="259" customFormat="1"/>
    <row r="7795" s="259" customFormat="1"/>
    <row r="7796" s="259" customFormat="1"/>
    <row r="7797" s="259" customFormat="1"/>
    <row r="7798" s="259" customFormat="1"/>
    <row r="7799" s="259" customFormat="1"/>
    <row r="7800" s="259" customFormat="1"/>
    <row r="7801" s="259" customFormat="1"/>
    <row r="7802" s="259" customFormat="1"/>
    <row r="7803" s="259" customFormat="1"/>
    <row r="7804" s="259" customFormat="1"/>
    <row r="7805" s="259" customFormat="1"/>
    <row r="7806" s="259" customFormat="1"/>
    <row r="7807" s="259" customFormat="1"/>
    <row r="7808" s="259" customFormat="1"/>
    <row r="7809" s="259" customFormat="1"/>
    <row r="7810" s="259" customFormat="1"/>
    <row r="7811" s="259" customFormat="1"/>
    <row r="7812" s="259" customFormat="1"/>
    <row r="7813" s="259" customFormat="1"/>
    <row r="7814" s="259" customFormat="1"/>
    <row r="7815" s="259" customFormat="1"/>
    <row r="7816" s="259" customFormat="1"/>
    <row r="7817" s="259" customFormat="1"/>
    <row r="7818" s="259" customFormat="1"/>
    <row r="7819" s="259" customFormat="1"/>
    <row r="7820" s="259" customFormat="1"/>
    <row r="7821" s="259" customFormat="1"/>
    <row r="7822" s="259" customFormat="1"/>
    <row r="7823" s="259" customFormat="1"/>
    <row r="7824" s="259" customFormat="1"/>
    <row r="7825" s="259" customFormat="1"/>
    <row r="7826" s="259" customFormat="1"/>
    <row r="7827" s="259" customFormat="1"/>
    <row r="7828" s="259" customFormat="1"/>
    <row r="7829" s="259" customFormat="1"/>
    <row r="7830" s="259" customFormat="1"/>
    <row r="7831" s="259" customFormat="1"/>
    <row r="7832" s="259" customFormat="1"/>
    <row r="7833" s="259" customFormat="1"/>
    <row r="7834" s="259" customFormat="1"/>
    <row r="7835" s="259" customFormat="1"/>
    <row r="7836" s="259" customFormat="1"/>
    <row r="7837" s="259" customFormat="1"/>
    <row r="7838" s="259" customFormat="1"/>
    <row r="7839" s="259" customFormat="1"/>
    <row r="7840" s="259" customFormat="1"/>
    <row r="7841" s="259" customFormat="1"/>
    <row r="7842" s="259" customFormat="1"/>
    <row r="7843" s="259" customFormat="1"/>
    <row r="7844" s="259" customFormat="1"/>
    <row r="7845" s="259" customFormat="1"/>
    <row r="7846" s="259" customFormat="1"/>
    <row r="7847" s="259" customFormat="1"/>
    <row r="7848" s="259" customFormat="1"/>
    <row r="7849" s="259" customFormat="1"/>
    <row r="7850" s="259" customFormat="1"/>
    <row r="7851" s="259" customFormat="1"/>
    <row r="7852" s="259" customFormat="1"/>
    <row r="7853" s="259" customFormat="1"/>
    <row r="7854" s="259" customFormat="1"/>
    <row r="7855" s="259" customFormat="1"/>
    <row r="7856" s="259" customFormat="1"/>
    <row r="7857" s="259" customFormat="1"/>
    <row r="7858" s="259" customFormat="1"/>
    <row r="7859" s="259" customFormat="1"/>
    <row r="7860" s="259" customFormat="1"/>
    <row r="7861" s="259" customFormat="1"/>
    <row r="7862" s="259" customFormat="1"/>
    <row r="7863" s="259" customFormat="1"/>
    <row r="7864" s="259" customFormat="1"/>
    <row r="7865" s="259" customFormat="1"/>
    <row r="7866" s="259" customFormat="1"/>
    <row r="7867" s="259" customFormat="1"/>
    <row r="7868" s="259" customFormat="1"/>
    <row r="7869" s="259" customFormat="1"/>
    <row r="7870" s="259" customFormat="1"/>
    <row r="7871" s="259" customFormat="1"/>
    <row r="7872" s="259" customFormat="1"/>
    <row r="7873" s="259" customFormat="1"/>
    <row r="7874" s="259" customFormat="1"/>
    <row r="7875" s="259" customFormat="1"/>
    <row r="7876" s="259" customFormat="1"/>
    <row r="7877" s="259" customFormat="1"/>
    <row r="7878" s="259" customFormat="1"/>
    <row r="7879" s="259" customFormat="1"/>
    <row r="7880" s="259" customFormat="1"/>
    <row r="7881" s="259" customFormat="1"/>
    <row r="7882" s="259" customFormat="1"/>
    <row r="7883" s="259" customFormat="1"/>
    <row r="7884" s="259" customFormat="1"/>
    <row r="7885" s="259" customFormat="1"/>
    <row r="7886" s="259" customFormat="1"/>
    <row r="7887" s="259" customFormat="1"/>
    <row r="7888" s="259" customFormat="1"/>
    <row r="7889" s="259" customFormat="1"/>
    <row r="7890" s="259" customFormat="1"/>
    <row r="7891" s="259" customFormat="1"/>
    <row r="7892" s="259" customFormat="1"/>
    <row r="7893" s="259" customFormat="1"/>
    <row r="7894" s="259" customFormat="1"/>
    <row r="7895" s="259" customFormat="1"/>
    <row r="7896" s="259" customFormat="1"/>
    <row r="7897" s="259" customFormat="1"/>
    <row r="7898" s="259" customFormat="1"/>
    <row r="7899" s="259" customFormat="1"/>
    <row r="7900" s="259" customFormat="1"/>
    <row r="7901" s="259" customFormat="1"/>
    <row r="7902" s="259" customFormat="1"/>
    <row r="7903" s="259" customFormat="1"/>
    <row r="7904" s="259" customFormat="1"/>
    <row r="7905" s="259" customFormat="1"/>
    <row r="7906" s="259" customFormat="1"/>
    <row r="7907" s="259" customFormat="1"/>
    <row r="7908" s="259" customFormat="1"/>
    <row r="7909" s="259" customFormat="1"/>
    <row r="7910" s="259" customFormat="1"/>
    <row r="7911" s="259" customFormat="1"/>
    <row r="7912" s="259" customFormat="1"/>
    <row r="7913" s="259" customFormat="1"/>
    <row r="7914" s="259" customFormat="1"/>
    <row r="7915" s="259" customFormat="1"/>
    <row r="7916" s="259" customFormat="1"/>
    <row r="7917" s="259" customFormat="1"/>
    <row r="7918" s="259" customFormat="1"/>
    <row r="7919" s="259" customFormat="1"/>
    <row r="7920" s="259" customFormat="1"/>
    <row r="7921" s="259" customFormat="1"/>
    <row r="7922" s="259" customFormat="1"/>
    <row r="7923" s="259" customFormat="1"/>
    <row r="7924" s="259" customFormat="1"/>
    <row r="7925" s="259" customFormat="1"/>
    <row r="7926" s="259" customFormat="1"/>
    <row r="7927" s="259" customFormat="1"/>
    <row r="7928" s="259" customFormat="1"/>
    <row r="7929" s="259" customFormat="1"/>
    <row r="7930" s="259" customFormat="1"/>
    <row r="7931" s="259" customFormat="1"/>
    <row r="7932" s="259" customFormat="1"/>
    <row r="7933" s="259" customFormat="1"/>
    <row r="7934" s="259" customFormat="1"/>
    <row r="7935" s="259" customFormat="1"/>
    <row r="7936" s="259" customFormat="1"/>
    <row r="7937" s="259" customFormat="1"/>
    <row r="7938" s="259" customFormat="1"/>
    <row r="7939" s="259" customFormat="1"/>
    <row r="7940" s="259" customFormat="1"/>
    <row r="7941" s="259" customFormat="1"/>
    <row r="7942" s="259" customFormat="1"/>
    <row r="7943" s="259" customFormat="1"/>
    <row r="7944" s="259" customFormat="1"/>
    <row r="7945" s="259" customFormat="1"/>
    <row r="7946" s="259" customFormat="1"/>
    <row r="7947" s="259" customFormat="1"/>
    <row r="7948" s="259" customFormat="1"/>
    <row r="7949" s="259" customFormat="1"/>
    <row r="7950" s="259" customFormat="1"/>
    <row r="7951" s="259" customFormat="1"/>
    <row r="7952" s="259" customFormat="1"/>
    <row r="7953" s="259" customFormat="1"/>
    <row r="7954" s="259" customFormat="1"/>
    <row r="7955" s="259" customFormat="1"/>
    <row r="7956" s="259" customFormat="1"/>
    <row r="7957" s="259" customFormat="1"/>
    <row r="7958" s="259" customFormat="1"/>
    <row r="7959" s="259" customFormat="1"/>
    <row r="7960" s="259" customFormat="1"/>
    <row r="7961" s="259" customFormat="1"/>
    <row r="7962" s="259" customFormat="1"/>
    <row r="7963" s="259" customFormat="1"/>
    <row r="7964" s="259" customFormat="1"/>
    <row r="7965" s="259" customFormat="1"/>
    <row r="7966" s="259" customFormat="1"/>
    <row r="7967" s="259" customFormat="1"/>
    <row r="7968" s="259" customFormat="1"/>
    <row r="7969" s="259" customFormat="1"/>
    <row r="7970" s="259" customFormat="1"/>
    <row r="7971" s="259" customFormat="1"/>
    <row r="7972" s="259" customFormat="1"/>
    <row r="7973" s="259" customFormat="1"/>
    <row r="7974" s="259" customFormat="1"/>
    <row r="7975" s="259" customFormat="1"/>
    <row r="7976" s="259" customFormat="1"/>
    <row r="7977" s="259" customFormat="1"/>
    <row r="7978" s="259" customFormat="1"/>
    <row r="7979" s="259" customFormat="1"/>
    <row r="7980" s="259" customFormat="1"/>
    <row r="7981" s="259" customFormat="1"/>
    <row r="7982" s="259" customFormat="1"/>
    <row r="7983" s="259" customFormat="1"/>
    <row r="7984" s="259" customFormat="1"/>
    <row r="7985" s="259" customFormat="1"/>
    <row r="7986" s="259" customFormat="1"/>
    <row r="7987" s="259" customFormat="1"/>
    <row r="7988" s="259" customFormat="1"/>
    <row r="7989" s="259" customFormat="1"/>
    <row r="7990" s="259" customFormat="1"/>
    <row r="7991" s="259" customFormat="1"/>
    <row r="7992" s="259" customFormat="1"/>
    <row r="7993" s="259" customFormat="1"/>
    <row r="7994" s="259" customFormat="1"/>
    <row r="7995" s="259" customFormat="1"/>
    <row r="7996" s="259" customFormat="1"/>
    <row r="7997" s="259" customFormat="1"/>
    <row r="7998" s="259" customFormat="1"/>
    <row r="7999" s="259" customFormat="1"/>
    <row r="8000" s="259" customFormat="1"/>
    <row r="8001" s="259" customFormat="1"/>
    <row r="8002" s="259" customFormat="1"/>
    <row r="8003" s="259" customFormat="1"/>
    <row r="8004" s="259" customFormat="1"/>
    <row r="8005" s="259" customFormat="1"/>
    <row r="8006" s="259" customFormat="1"/>
    <row r="8007" s="259" customFormat="1"/>
    <row r="8008" s="259" customFormat="1"/>
    <row r="8009" s="259" customFormat="1"/>
    <row r="8010" s="259" customFormat="1"/>
    <row r="8011" s="259" customFormat="1"/>
    <row r="8012" s="259" customFormat="1"/>
    <row r="8013" s="259" customFormat="1"/>
    <row r="8014" s="259" customFormat="1"/>
    <row r="8015" s="259" customFormat="1"/>
    <row r="8016" s="259" customFormat="1"/>
    <row r="8017" s="259" customFormat="1"/>
    <row r="8018" s="259" customFormat="1"/>
    <row r="8019" s="259" customFormat="1"/>
    <row r="8020" s="259" customFormat="1"/>
    <row r="8021" s="259" customFormat="1"/>
    <row r="8022" s="259" customFormat="1"/>
    <row r="8023" s="259" customFormat="1"/>
    <row r="8024" s="259" customFormat="1"/>
    <row r="8025" s="259" customFormat="1"/>
    <row r="8026" s="259" customFormat="1"/>
    <row r="8027" s="259" customFormat="1"/>
    <row r="8028" s="259" customFormat="1"/>
    <row r="8029" s="259" customFormat="1"/>
    <row r="8030" s="259" customFormat="1"/>
    <row r="8031" s="259" customFormat="1"/>
    <row r="8032" s="259" customFormat="1"/>
    <row r="8033" s="259" customFormat="1"/>
    <row r="8034" s="259" customFormat="1"/>
    <row r="8035" s="259" customFormat="1"/>
    <row r="8036" s="259" customFormat="1"/>
    <row r="8037" s="259" customFormat="1"/>
    <row r="8038" s="259" customFormat="1"/>
    <row r="8039" s="259" customFormat="1"/>
    <row r="8040" s="259" customFormat="1"/>
    <row r="8041" s="259" customFormat="1"/>
    <row r="8042" s="259" customFormat="1"/>
    <row r="8043" s="259" customFormat="1"/>
    <row r="8044" s="259" customFormat="1"/>
    <row r="8045" s="259" customFormat="1"/>
    <row r="8046" s="259" customFormat="1"/>
    <row r="8047" s="259" customFormat="1"/>
    <row r="8048" s="259" customFormat="1"/>
    <row r="8049" s="259" customFormat="1"/>
    <row r="8050" s="259" customFormat="1"/>
    <row r="8051" s="259" customFormat="1"/>
    <row r="8052" s="259" customFormat="1"/>
    <row r="8053" s="259" customFormat="1"/>
    <row r="8054" s="259" customFormat="1"/>
    <row r="8055" s="259" customFormat="1"/>
    <row r="8056" s="259" customFormat="1"/>
    <row r="8057" s="259" customFormat="1"/>
    <row r="8058" s="259" customFormat="1"/>
    <row r="8059" s="259" customFormat="1"/>
    <row r="8060" s="259" customFormat="1"/>
    <row r="8061" s="259" customFormat="1"/>
    <row r="8062" s="259" customFormat="1"/>
    <row r="8063" s="259" customFormat="1"/>
    <row r="8064" s="259" customFormat="1"/>
    <row r="8065" s="259" customFormat="1"/>
    <row r="8066" s="259" customFormat="1"/>
    <row r="8067" s="259" customFormat="1"/>
    <row r="8068" s="259" customFormat="1"/>
    <row r="8069" s="259" customFormat="1"/>
    <row r="8070" s="259" customFormat="1"/>
    <row r="8071" s="259" customFormat="1"/>
    <row r="8072" s="259" customFormat="1"/>
    <row r="8073" s="259" customFormat="1"/>
    <row r="8074" s="259" customFormat="1"/>
    <row r="8075" s="259" customFormat="1"/>
    <row r="8076" s="259" customFormat="1"/>
    <row r="8077" s="259" customFormat="1"/>
    <row r="8078" s="259" customFormat="1"/>
    <row r="8079" s="259" customFormat="1"/>
    <row r="8080" s="259" customFormat="1"/>
    <row r="8081" s="259" customFormat="1"/>
    <row r="8082" s="259" customFormat="1"/>
    <row r="8083" s="259" customFormat="1"/>
    <row r="8084" s="259" customFormat="1"/>
    <row r="8085" s="259" customFormat="1"/>
    <row r="8086" s="259" customFormat="1"/>
    <row r="8087" s="259" customFormat="1"/>
    <row r="8088" s="259" customFormat="1"/>
    <row r="8089" s="259" customFormat="1"/>
    <row r="8090" s="259" customFormat="1"/>
    <row r="8091" s="259" customFormat="1"/>
    <row r="8092" s="259" customFormat="1"/>
    <row r="8093" s="259" customFormat="1"/>
    <row r="8094" s="259" customFormat="1"/>
    <row r="8095" s="259" customFormat="1"/>
    <row r="8096" s="259" customFormat="1"/>
    <row r="8097" s="259" customFormat="1"/>
    <row r="8098" s="259" customFormat="1"/>
    <row r="8099" s="259" customFormat="1"/>
    <row r="8100" s="259" customFormat="1"/>
    <row r="8101" s="259" customFormat="1"/>
    <row r="8102" s="259" customFormat="1"/>
    <row r="8103" s="259" customFormat="1"/>
    <row r="8104" s="259" customFormat="1"/>
    <row r="8105" s="259" customFormat="1"/>
    <row r="8106" s="259" customFormat="1"/>
    <row r="8107" s="259" customFormat="1"/>
    <row r="8108" s="259" customFormat="1"/>
    <row r="8109" s="259" customFormat="1"/>
    <row r="8110" s="259" customFormat="1"/>
    <row r="8111" s="259" customFormat="1"/>
    <row r="8112" s="259" customFormat="1"/>
    <row r="8113" s="259" customFormat="1"/>
    <row r="8114" s="259" customFormat="1"/>
    <row r="8115" s="259" customFormat="1"/>
    <row r="8116" s="259" customFormat="1"/>
    <row r="8117" s="259" customFormat="1"/>
    <row r="8118" s="259" customFormat="1"/>
    <row r="8119" s="259" customFormat="1"/>
    <row r="8120" s="259" customFormat="1"/>
    <row r="8121" s="259" customFormat="1"/>
    <row r="8122" s="259" customFormat="1"/>
    <row r="8123" s="259" customFormat="1"/>
    <row r="8124" s="259" customFormat="1"/>
    <row r="8125" s="259" customFormat="1"/>
    <row r="8126" s="259" customFormat="1"/>
    <row r="8127" s="259" customFormat="1"/>
    <row r="8128" s="259" customFormat="1"/>
    <row r="8129" s="259" customFormat="1"/>
    <row r="8130" s="259" customFormat="1"/>
    <row r="8131" s="259" customFormat="1"/>
    <row r="8132" s="259" customFormat="1"/>
    <row r="8133" s="259" customFormat="1"/>
    <row r="8134" s="259" customFormat="1"/>
    <row r="8135" s="259" customFormat="1"/>
    <row r="8136" s="259" customFormat="1"/>
    <row r="8137" s="259" customFormat="1"/>
    <row r="8138" s="259" customFormat="1"/>
    <row r="8139" s="259" customFormat="1"/>
    <row r="8140" s="259" customFormat="1"/>
    <row r="8141" s="259" customFormat="1"/>
    <row r="8142" s="259" customFormat="1"/>
    <row r="8143" s="259" customFormat="1"/>
    <row r="8144" s="259" customFormat="1"/>
    <row r="8145" s="259" customFormat="1"/>
    <row r="8146" s="259" customFormat="1"/>
    <row r="8147" s="259" customFormat="1"/>
    <row r="8148" s="259" customFormat="1"/>
    <row r="8149" s="259" customFormat="1"/>
    <row r="8150" s="259" customFormat="1"/>
    <row r="8151" s="259" customFormat="1"/>
    <row r="8152" s="259" customFormat="1"/>
    <row r="8153" s="259" customFormat="1"/>
    <row r="8154" s="259" customFormat="1"/>
    <row r="8155" s="259" customFormat="1"/>
    <row r="8156" s="259" customFormat="1"/>
    <row r="8157" s="259" customFormat="1"/>
    <row r="8158" s="259" customFormat="1"/>
    <row r="8159" s="259" customFormat="1"/>
    <row r="8160" s="259" customFormat="1"/>
    <row r="8161" s="259" customFormat="1"/>
    <row r="8162" s="259" customFormat="1"/>
    <row r="8163" s="259" customFormat="1"/>
    <row r="8164" s="259" customFormat="1"/>
    <row r="8165" s="259" customFormat="1"/>
    <row r="8166" s="259" customFormat="1"/>
    <row r="8167" s="259" customFormat="1"/>
    <row r="8168" s="259" customFormat="1"/>
    <row r="8169" s="259" customFormat="1"/>
    <row r="8170" s="259" customFormat="1"/>
    <row r="8171" s="259" customFormat="1"/>
    <row r="8172" s="259" customFormat="1"/>
    <row r="8173" s="259" customFormat="1"/>
    <row r="8174" s="259" customFormat="1"/>
    <row r="8175" s="259" customFormat="1"/>
    <row r="8176" s="259" customFormat="1"/>
    <row r="8177" s="259" customFormat="1"/>
    <row r="8178" s="259" customFormat="1"/>
    <row r="8179" s="259" customFormat="1"/>
    <row r="8180" s="259" customFormat="1"/>
    <row r="8181" s="259" customFormat="1"/>
    <row r="8182" s="259" customFormat="1"/>
    <row r="8183" s="259" customFormat="1"/>
    <row r="8184" s="259" customFormat="1"/>
    <row r="8185" s="259" customFormat="1"/>
    <row r="8186" s="259" customFormat="1"/>
    <row r="8187" s="259" customFormat="1"/>
    <row r="8188" s="259" customFormat="1"/>
    <row r="8189" s="259" customFormat="1"/>
    <row r="8190" s="259" customFormat="1"/>
    <row r="8191" s="259" customFormat="1"/>
    <row r="8192" s="259" customFormat="1"/>
    <row r="8193" s="259" customFormat="1"/>
    <row r="8194" s="259" customFormat="1"/>
    <row r="8195" s="259" customFormat="1"/>
    <row r="8196" s="259" customFormat="1"/>
    <row r="8197" s="259" customFormat="1"/>
    <row r="8198" s="259" customFormat="1"/>
    <row r="8199" s="259" customFormat="1"/>
    <row r="8200" s="259" customFormat="1"/>
    <row r="8201" s="259" customFormat="1"/>
    <row r="8202" s="259" customFormat="1"/>
    <row r="8203" s="259" customFormat="1"/>
    <row r="8204" s="259" customFormat="1"/>
    <row r="8205" s="259" customFormat="1"/>
    <row r="8206" s="259" customFormat="1"/>
    <row r="8207" s="259" customFormat="1"/>
    <row r="8208" s="259" customFormat="1"/>
    <row r="8209" s="259" customFormat="1"/>
    <row r="8210" s="259" customFormat="1"/>
    <row r="8211" s="259" customFormat="1"/>
    <row r="8212" s="259" customFormat="1"/>
    <row r="8213" s="259" customFormat="1"/>
    <row r="8214" s="259" customFormat="1"/>
    <row r="8215" s="259" customFormat="1"/>
    <row r="8216" s="259" customFormat="1"/>
    <row r="8217" s="259" customFormat="1"/>
    <row r="8218" s="259" customFormat="1"/>
    <row r="8219" s="259" customFormat="1"/>
    <row r="8220" s="259" customFormat="1"/>
    <row r="8221" s="259" customFormat="1"/>
    <row r="8222" s="259" customFormat="1"/>
    <row r="8223" s="259" customFormat="1"/>
    <row r="8224" s="259" customFormat="1"/>
    <row r="8225" s="259" customFormat="1"/>
    <row r="8226" s="259" customFormat="1"/>
    <row r="8227" s="259" customFormat="1"/>
    <row r="8228" s="259" customFormat="1"/>
    <row r="8229" s="259" customFormat="1"/>
    <row r="8230" s="259" customFormat="1"/>
    <row r="8231" s="259" customFormat="1"/>
    <row r="8232" s="259" customFormat="1"/>
    <row r="8233" s="259" customFormat="1"/>
    <row r="8234" s="259" customFormat="1"/>
    <row r="8235" s="259" customFormat="1"/>
    <row r="8236" s="259" customFormat="1"/>
    <row r="8237" s="259" customFormat="1"/>
    <row r="8238" s="259" customFormat="1"/>
    <row r="8239" s="259" customFormat="1"/>
    <row r="8240" s="259" customFormat="1"/>
    <row r="8241" s="259" customFormat="1"/>
    <row r="8242" s="259" customFormat="1"/>
    <row r="8243" s="259" customFormat="1"/>
    <row r="8244" s="259" customFormat="1"/>
    <row r="8245" s="259" customFormat="1"/>
    <row r="8246" s="259" customFormat="1"/>
    <row r="8247" s="259" customFormat="1"/>
    <row r="8248" s="259" customFormat="1"/>
    <row r="8249" s="259" customFormat="1"/>
    <row r="8250" s="259" customFormat="1"/>
    <row r="8251" s="259" customFormat="1"/>
    <row r="8252" s="259" customFormat="1"/>
    <row r="8253" s="259" customFormat="1"/>
    <row r="8254" s="259" customFormat="1"/>
    <row r="8255" s="259" customFormat="1"/>
    <row r="8256" s="259" customFormat="1"/>
    <row r="8257" s="259" customFormat="1"/>
    <row r="8258" s="259" customFormat="1"/>
    <row r="8259" s="259" customFormat="1"/>
    <row r="8260" s="259" customFormat="1"/>
    <row r="8261" s="259" customFormat="1"/>
    <row r="8262" s="259" customFormat="1"/>
    <row r="8263" s="259" customFormat="1"/>
    <row r="8264" s="259" customFormat="1"/>
    <row r="8265" s="259" customFormat="1"/>
    <row r="8266" s="259" customFormat="1"/>
    <row r="8267" s="259" customFormat="1"/>
    <row r="8268" s="259" customFormat="1"/>
    <row r="8269" s="259" customFormat="1"/>
    <row r="8270" s="259" customFormat="1"/>
    <row r="8271" s="259" customFormat="1"/>
    <row r="8272" s="259" customFormat="1"/>
    <row r="8273" s="259" customFormat="1"/>
    <row r="8274" s="259" customFormat="1"/>
    <row r="8275" s="259" customFormat="1"/>
    <row r="8276" s="259" customFormat="1"/>
    <row r="8277" s="259" customFormat="1"/>
    <row r="8278" s="259" customFormat="1"/>
    <row r="8279" s="259" customFormat="1"/>
    <row r="8280" s="259" customFormat="1"/>
    <row r="8281" s="259" customFormat="1"/>
    <row r="8282" s="259" customFormat="1"/>
    <row r="8283" s="259" customFormat="1"/>
    <row r="8284" s="259" customFormat="1"/>
    <row r="8285" s="259" customFormat="1"/>
    <row r="8286" s="259" customFormat="1"/>
    <row r="8287" s="259" customFormat="1"/>
    <row r="8288" s="259" customFormat="1"/>
    <row r="8289" s="259" customFormat="1"/>
    <row r="8290" s="259" customFormat="1"/>
    <row r="8291" s="259" customFormat="1"/>
    <row r="8292" s="259" customFormat="1"/>
    <row r="8293" s="259" customFormat="1"/>
    <row r="8294" s="259" customFormat="1"/>
    <row r="8295" s="259" customFormat="1"/>
    <row r="8296" s="259" customFormat="1"/>
    <row r="8297" s="259" customFormat="1"/>
    <row r="8298" s="259" customFormat="1"/>
    <row r="8299" s="259" customFormat="1"/>
    <row r="8300" s="259" customFormat="1"/>
    <row r="8301" s="259" customFormat="1"/>
    <row r="8302" s="259" customFormat="1"/>
    <row r="8303" s="259" customFormat="1"/>
    <row r="8304" s="259" customFormat="1"/>
    <row r="8305" s="259" customFormat="1"/>
    <row r="8306" s="259" customFormat="1"/>
    <row r="8307" s="259" customFormat="1"/>
    <row r="8308" s="259" customFormat="1"/>
    <row r="8309" s="259" customFormat="1"/>
    <row r="8310" s="259" customFormat="1"/>
    <row r="8311" s="259" customFormat="1"/>
    <row r="8312" s="259" customFormat="1"/>
    <row r="8313" s="259" customFormat="1"/>
    <row r="8314" s="259" customFormat="1"/>
    <row r="8315" s="259" customFormat="1"/>
    <row r="8316" s="259" customFormat="1"/>
    <row r="8317" s="259" customFormat="1"/>
    <row r="8318" s="259" customFormat="1"/>
    <row r="8319" s="259" customFormat="1"/>
    <row r="8320" s="259" customFormat="1"/>
    <row r="8321" s="259" customFormat="1"/>
    <row r="8322" s="259" customFormat="1"/>
    <row r="8323" s="259" customFormat="1"/>
    <row r="8324" s="259" customFormat="1"/>
    <row r="8325" s="259" customFormat="1"/>
    <row r="8326" s="259" customFormat="1"/>
    <row r="8327" s="259" customFormat="1"/>
    <row r="8328" s="259" customFormat="1"/>
    <row r="8329" s="259" customFormat="1"/>
    <row r="8330" s="259" customFormat="1"/>
    <row r="8331" s="259" customFormat="1"/>
    <row r="8332" s="259" customFormat="1"/>
    <row r="8333" s="259" customFormat="1"/>
    <row r="8334" s="259" customFormat="1"/>
    <row r="8335" s="259" customFormat="1"/>
    <row r="8336" s="259" customFormat="1"/>
    <row r="8337" s="259" customFormat="1"/>
    <row r="8338" s="259" customFormat="1"/>
    <row r="8339" s="259" customFormat="1"/>
    <row r="8340" s="259" customFormat="1"/>
    <row r="8341" s="259" customFormat="1"/>
    <row r="8342" s="259" customFormat="1"/>
    <row r="8343" s="259" customFormat="1"/>
    <row r="8344" s="259" customFormat="1"/>
    <row r="8345" s="259" customFormat="1"/>
    <row r="8346" s="259" customFormat="1"/>
    <row r="8347" s="259" customFormat="1"/>
    <row r="8348" s="259" customFormat="1"/>
    <row r="8349" s="259" customFormat="1"/>
    <row r="8350" s="259" customFormat="1"/>
    <row r="8351" s="259" customFormat="1"/>
    <row r="8352" s="259" customFormat="1"/>
    <row r="8353" s="259" customFormat="1"/>
    <row r="8354" s="259" customFormat="1"/>
    <row r="8355" s="259" customFormat="1"/>
    <row r="8356" s="259" customFormat="1"/>
    <row r="8357" s="259" customFormat="1"/>
    <row r="8358" s="259" customFormat="1"/>
    <row r="8359" s="259" customFormat="1"/>
    <row r="8360" s="259" customFormat="1"/>
    <row r="8361" s="259" customFormat="1"/>
    <row r="8362" s="259" customFormat="1"/>
    <row r="8363" s="259" customFormat="1"/>
    <row r="8364" s="259" customFormat="1"/>
    <row r="8365" s="259" customFormat="1"/>
    <row r="8366" s="259" customFormat="1"/>
    <row r="8367" s="259" customFormat="1"/>
    <row r="8368" s="259" customFormat="1"/>
    <row r="8369" s="259" customFormat="1"/>
    <row r="8370" s="259" customFormat="1"/>
    <row r="8371" s="259" customFormat="1"/>
    <row r="8372" s="259" customFormat="1"/>
    <row r="8373" s="259" customFormat="1"/>
    <row r="8374" s="259" customFormat="1"/>
    <row r="8375" s="259" customFormat="1"/>
    <row r="8376" s="259" customFormat="1"/>
    <row r="8377" s="259" customFormat="1"/>
    <row r="8378" s="259" customFormat="1"/>
    <row r="8379" s="259" customFormat="1"/>
    <row r="8380" s="259" customFormat="1"/>
    <row r="8381" s="259" customFormat="1"/>
    <row r="8382" s="259" customFormat="1"/>
    <row r="8383" s="259" customFormat="1"/>
    <row r="8384" s="259" customFormat="1"/>
    <row r="8385" s="259" customFormat="1"/>
    <row r="8386" s="259" customFormat="1"/>
    <row r="8387" s="259" customFormat="1"/>
    <row r="8388" s="259" customFormat="1"/>
    <row r="8389" s="259" customFormat="1"/>
    <row r="8390" s="259" customFormat="1"/>
    <row r="8391" s="259" customFormat="1"/>
    <row r="8392" s="259" customFormat="1"/>
    <row r="8393" s="259" customFormat="1"/>
    <row r="8394" s="259" customFormat="1"/>
    <row r="8395" s="259" customFormat="1"/>
    <row r="8396" s="259" customFormat="1"/>
    <row r="8397" s="259" customFormat="1"/>
    <row r="8398" s="259" customFormat="1"/>
    <row r="8399" s="259" customFormat="1"/>
    <row r="8400" s="259" customFormat="1"/>
    <row r="8401" s="259" customFormat="1"/>
    <row r="8402" s="259" customFormat="1"/>
    <row r="8403" s="259" customFormat="1"/>
    <row r="8404" s="259" customFormat="1"/>
    <row r="8405" s="259" customFormat="1"/>
    <row r="8406" s="259" customFormat="1"/>
    <row r="8407" s="259" customFormat="1"/>
    <row r="8408" s="259" customFormat="1"/>
    <row r="8409" s="259" customFormat="1"/>
    <row r="8410" s="259" customFormat="1"/>
    <row r="8411" s="259" customFormat="1"/>
    <row r="8412" s="259" customFormat="1"/>
    <row r="8413" s="259" customFormat="1"/>
    <row r="8414" s="259" customFormat="1"/>
    <row r="8415" s="259" customFormat="1"/>
    <row r="8416" s="259" customFormat="1"/>
    <row r="8417" s="259" customFormat="1"/>
    <row r="8418" s="259" customFormat="1"/>
    <row r="8419" s="259" customFormat="1"/>
    <row r="8420" s="259" customFormat="1"/>
    <row r="8421" s="259" customFormat="1"/>
    <row r="8422" s="259" customFormat="1"/>
    <row r="8423" s="259" customFormat="1"/>
    <row r="8424" s="259" customFormat="1"/>
    <row r="8425" s="259" customFormat="1"/>
    <row r="8426" s="259" customFormat="1"/>
    <row r="8427" s="259" customFormat="1"/>
    <row r="8428" s="259" customFormat="1"/>
    <row r="8429" s="259" customFormat="1"/>
    <row r="8430" s="259" customFormat="1"/>
    <row r="8431" s="259" customFormat="1"/>
    <row r="8432" s="259" customFormat="1"/>
    <row r="8433" s="259" customFormat="1"/>
    <row r="8434" s="259" customFormat="1"/>
    <row r="8435" s="259" customFormat="1"/>
    <row r="8436" s="259" customFormat="1"/>
    <row r="8437" s="259" customFormat="1"/>
    <row r="8438" s="259" customFormat="1"/>
    <row r="8439" s="259" customFormat="1"/>
    <row r="8440" s="259" customFormat="1"/>
    <row r="8441" s="259" customFormat="1"/>
    <row r="8442" s="259" customFormat="1"/>
    <row r="8443" s="259" customFormat="1"/>
    <row r="8444" s="259" customFormat="1"/>
    <row r="8445" s="259" customFormat="1"/>
    <row r="8446" s="259" customFormat="1"/>
    <row r="8447" s="259" customFormat="1"/>
    <row r="8448" s="259" customFormat="1"/>
    <row r="8449" s="259" customFormat="1"/>
    <row r="8450" s="259" customFormat="1"/>
    <row r="8451" s="259" customFormat="1"/>
    <row r="8452" s="259" customFormat="1"/>
    <row r="8453" s="259" customFormat="1"/>
    <row r="8454" s="259" customFormat="1"/>
    <row r="8455" s="259" customFormat="1"/>
    <row r="8456" s="259" customFormat="1"/>
    <row r="8457" s="259" customFormat="1"/>
    <row r="8458" s="259" customFormat="1"/>
    <row r="8459" s="259" customFormat="1"/>
    <row r="8460" s="259" customFormat="1"/>
    <row r="8461" s="259" customFormat="1"/>
    <row r="8462" s="259" customFormat="1"/>
    <row r="8463" s="259" customFormat="1"/>
    <row r="8464" s="259" customFormat="1"/>
    <row r="8465" s="259" customFormat="1"/>
    <row r="8466" s="259" customFormat="1"/>
    <row r="8467" s="259" customFormat="1"/>
    <row r="8468" s="259" customFormat="1"/>
    <row r="8469" s="259" customFormat="1"/>
    <row r="8470" s="259" customFormat="1"/>
    <row r="8471" s="259" customFormat="1"/>
    <row r="8472" s="259" customFormat="1"/>
    <row r="8473" s="259" customFormat="1"/>
    <row r="8474" s="259" customFormat="1"/>
    <row r="8475" s="259" customFormat="1"/>
    <row r="8476" s="259" customFormat="1"/>
    <row r="8477" s="259" customFormat="1"/>
    <row r="8478" s="259" customFormat="1"/>
    <row r="8479" s="259" customFormat="1"/>
    <row r="8480" s="259" customFormat="1"/>
    <row r="8481" s="259" customFormat="1"/>
    <row r="8482" s="259" customFormat="1"/>
    <row r="8483" s="259" customFormat="1"/>
    <row r="8484" s="259" customFormat="1"/>
    <row r="8485" s="259" customFormat="1"/>
    <row r="8486" s="259" customFormat="1"/>
    <row r="8487" s="259" customFormat="1"/>
    <row r="8488" s="259" customFormat="1"/>
    <row r="8489" s="259" customFormat="1"/>
    <row r="8490" s="259" customFormat="1"/>
    <row r="8491" s="259" customFormat="1"/>
    <row r="8492" s="259" customFormat="1"/>
    <row r="8493" s="259" customFormat="1"/>
    <row r="8494" s="259" customFormat="1"/>
    <row r="8495" s="259" customFormat="1"/>
    <row r="8496" s="259" customFormat="1"/>
    <row r="8497" s="259" customFormat="1"/>
    <row r="8498" s="259" customFormat="1"/>
    <row r="8499" s="259" customFormat="1"/>
    <row r="8500" s="259" customFormat="1"/>
    <row r="8501" s="259" customFormat="1"/>
    <row r="8502" s="259" customFormat="1"/>
    <row r="8503" s="259" customFormat="1"/>
    <row r="8504" s="259" customFormat="1"/>
    <row r="8505" s="259" customFormat="1"/>
    <row r="8506" s="259" customFormat="1"/>
    <row r="8507" s="259" customFormat="1"/>
    <row r="8508" s="259" customFormat="1"/>
    <row r="8509" s="259" customFormat="1"/>
    <row r="8510" s="259" customFormat="1"/>
    <row r="8511" s="259" customFormat="1"/>
    <row r="8512" s="259" customFormat="1"/>
    <row r="8513" s="259" customFormat="1"/>
    <row r="8514" s="259" customFormat="1"/>
    <row r="8515" s="259" customFormat="1"/>
    <row r="8516" s="259" customFormat="1"/>
    <row r="8517" s="259" customFormat="1"/>
    <row r="8518" s="259" customFormat="1"/>
    <row r="8519" s="259" customFormat="1"/>
    <row r="8520" s="259" customFormat="1"/>
    <row r="8521" s="259" customFormat="1"/>
    <row r="8522" s="259" customFormat="1"/>
    <row r="8523" s="259" customFormat="1"/>
    <row r="8524" s="259" customFormat="1"/>
    <row r="8525" s="259" customFormat="1"/>
    <row r="8526" s="259" customFormat="1"/>
    <row r="8527" s="259" customFormat="1"/>
    <row r="8528" s="259" customFormat="1"/>
    <row r="8529" s="259" customFormat="1"/>
    <row r="8530" s="259" customFormat="1"/>
    <row r="8531" s="259" customFormat="1"/>
    <row r="8532" s="259" customFormat="1"/>
    <row r="8533" s="259" customFormat="1"/>
    <row r="8534" s="259" customFormat="1"/>
    <row r="8535" s="259" customFormat="1"/>
    <row r="8536" s="259" customFormat="1"/>
    <row r="8537" s="259" customFormat="1"/>
    <row r="8538" s="259" customFormat="1"/>
    <row r="8539" s="259" customFormat="1"/>
    <row r="8540" s="259" customFormat="1"/>
    <row r="8541" s="259" customFormat="1"/>
    <row r="8542" s="259" customFormat="1"/>
    <row r="8543" s="259" customFormat="1"/>
    <row r="8544" s="259" customFormat="1"/>
    <row r="8545" s="259" customFormat="1"/>
    <row r="8546" s="259" customFormat="1"/>
    <row r="8547" s="259" customFormat="1"/>
    <row r="8548" s="259" customFormat="1"/>
    <row r="8549" s="259" customFormat="1"/>
    <row r="8550" s="259" customFormat="1"/>
    <row r="8551" s="259" customFormat="1"/>
    <row r="8552" s="259" customFormat="1"/>
    <row r="8553" s="259" customFormat="1"/>
    <row r="8554" s="259" customFormat="1"/>
    <row r="8555" s="259" customFormat="1"/>
    <row r="8556" s="259" customFormat="1"/>
    <row r="8557" s="259" customFormat="1"/>
    <row r="8558" s="259" customFormat="1"/>
    <row r="8559" s="259" customFormat="1"/>
    <row r="8560" s="259" customFormat="1"/>
    <row r="8561" s="259" customFormat="1"/>
    <row r="8562" s="259" customFormat="1"/>
    <row r="8563" s="259" customFormat="1"/>
    <row r="8564" s="259" customFormat="1"/>
    <row r="8565" s="259" customFormat="1"/>
    <row r="8566" s="259" customFormat="1"/>
    <row r="8567" s="259" customFormat="1"/>
    <row r="8568" s="259" customFormat="1"/>
    <row r="8569" s="259" customFormat="1"/>
    <row r="8570" s="259" customFormat="1"/>
    <row r="8571" s="259" customFormat="1"/>
    <row r="8572" s="259" customFormat="1"/>
    <row r="8573" s="259" customFormat="1"/>
    <row r="8574" s="259" customFormat="1"/>
    <row r="8575" s="259" customFormat="1"/>
    <row r="8576" s="259" customFormat="1"/>
    <row r="8577" s="259" customFormat="1"/>
    <row r="8578" s="259" customFormat="1"/>
    <row r="8579" s="259" customFormat="1"/>
    <row r="8580" s="259" customFormat="1"/>
    <row r="8581" s="259" customFormat="1"/>
    <row r="8582" s="259" customFormat="1"/>
    <row r="8583" s="259" customFormat="1"/>
    <row r="8584" s="259" customFormat="1"/>
    <row r="8585" s="259" customFormat="1"/>
    <row r="8586" s="259" customFormat="1"/>
    <row r="8587" s="259" customFormat="1"/>
    <row r="8588" s="259" customFormat="1"/>
    <row r="8589" s="259" customFormat="1"/>
    <row r="8590" s="259" customFormat="1"/>
    <row r="8591" s="259" customFormat="1"/>
    <row r="8592" s="259" customFormat="1"/>
    <row r="8593" s="259" customFormat="1"/>
    <row r="8594" s="259" customFormat="1"/>
    <row r="8595" s="259" customFormat="1"/>
    <row r="8596" s="259" customFormat="1"/>
    <row r="8597" s="259" customFormat="1"/>
    <row r="8598" s="259" customFormat="1"/>
    <row r="8599" s="259" customFormat="1"/>
    <row r="8600" s="259" customFormat="1"/>
    <row r="8601" s="259" customFormat="1"/>
    <row r="8602" s="259" customFormat="1"/>
    <row r="8603" s="259" customFormat="1"/>
    <row r="8604" s="259" customFormat="1"/>
    <row r="8605" s="259" customFormat="1"/>
    <row r="8606" s="259" customFormat="1"/>
    <row r="8607" s="259" customFormat="1"/>
    <row r="8608" s="259" customFormat="1"/>
    <row r="8609" s="259" customFormat="1"/>
    <row r="8610" s="259" customFormat="1"/>
    <row r="8611" s="259" customFormat="1"/>
    <row r="8612" s="259" customFormat="1"/>
    <row r="8613" s="259" customFormat="1"/>
    <row r="8614" s="259" customFormat="1"/>
    <row r="8615" s="259" customFormat="1"/>
    <row r="8616" s="259" customFormat="1"/>
    <row r="8617" s="259" customFormat="1"/>
    <row r="8618" s="259" customFormat="1"/>
    <row r="8619" s="259" customFormat="1"/>
    <row r="8620" s="259" customFormat="1"/>
    <row r="8621" s="259" customFormat="1"/>
    <row r="8622" s="259" customFormat="1"/>
    <row r="8623" s="259" customFormat="1"/>
    <row r="8624" s="259" customFormat="1"/>
    <row r="8625" s="259" customFormat="1"/>
    <row r="8626" s="259" customFormat="1"/>
    <row r="8627" s="259" customFormat="1"/>
    <row r="8628" s="259" customFormat="1"/>
    <row r="8629" s="259" customFormat="1"/>
    <row r="8630" s="259" customFormat="1"/>
    <row r="8631" s="259" customFormat="1"/>
    <row r="8632" s="259" customFormat="1"/>
    <row r="8633" s="259" customFormat="1"/>
    <row r="8634" s="259" customFormat="1"/>
    <row r="8635" s="259" customFormat="1"/>
    <row r="8636" s="259" customFormat="1"/>
    <row r="8637" s="259" customFormat="1"/>
    <row r="8638" s="259" customFormat="1"/>
    <row r="8639" s="259" customFormat="1"/>
    <row r="8640" s="259" customFormat="1"/>
    <row r="8641" s="259" customFormat="1"/>
    <row r="8642" s="259" customFormat="1"/>
    <row r="8643" s="259" customFormat="1"/>
    <row r="8644" s="259" customFormat="1"/>
    <row r="8645" s="259" customFormat="1"/>
    <row r="8646" s="259" customFormat="1"/>
    <row r="8647" s="259" customFormat="1"/>
    <row r="8648" s="259" customFormat="1"/>
    <row r="8649" s="259" customFormat="1"/>
    <row r="8650" s="259" customFormat="1"/>
    <row r="8651" s="259" customFormat="1"/>
    <row r="8652" s="259" customFormat="1"/>
    <row r="8653" s="259" customFormat="1"/>
    <row r="8654" s="259" customFormat="1"/>
    <row r="8655" s="259" customFormat="1"/>
    <row r="8656" s="259" customFormat="1"/>
    <row r="8657" s="259" customFormat="1"/>
    <row r="8658" s="259" customFormat="1"/>
    <row r="8659" s="259" customFormat="1"/>
    <row r="8660" s="259" customFormat="1"/>
    <row r="8661" s="259" customFormat="1"/>
    <row r="8662" s="259" customFormat="1"/>
    <row r="8663" s="259" customFormat="1"/>
    <row r="8664" s="259" customFormat="1"/>
    <row r="8665" s="259" customFormat="1"/>
    <row r="8666" s="259" customFormat="1"/>
    <row r="8667" s="259" customFormat="1"/>
    <row r="8668" s="259" customFormat="1"/>
    <row r="8669" s="259" customFormat="1"/>
    <row r="8670" s="259" customFormat="1"/>
    <row r="8671" s="259" customFormat="1"/>
    <row r="8672" s="259" customFormat="1"/>
    <row r="8673" s="259" customFormat="1"/>
    <row r="8674" s="259" customFormat="1"/>
    <row r="8675" s="259" customFormat="1"/>
    <row r="8676" s="259" customFormat="1"/>
    <row r="8677" s="259" customFormat="1"/>
    <row r="8678" s="259" customFormat="1"/>
    <row r="8679" s="259" customFormat="1"/>
    <row r="8680" s="259" customFormat="1"/>
    <row r="8681" s="259" customFormat="1"/>
    <row r="8682" s="259" customFormat="1"/>
    <row r="8683" s="259" customFormat="1"/>
    <row r="8684" s="259" customFormat="1"/>
    <row r="8685" s="259" customFormat="1"/>
    <row r="8686" s="259" customFormat="1"/>
    <row r="8687" s="259" customFormat="1"/>
    <row r="8688" s="259" customFormat="1"/>
    <row r="8689" s="259" customFormat="1"/>
    <row r="8690" s="259" customFormat="1"/>
    <row r="8691" s="259" customFormat="1"/>
    <row r="8692" s="259" customFormat="1"/>
    <row r="8693" s="259" customFormat="1"/>
    <row r="8694" s="259" customFormat="1"/>
    <row r="8695" s="259" customFormat="1"/>
    <row r="8696" s="259" customFormat="1"/>
    <row r="8697" s="259" customFormat="1"/>
    <row r="8698" s="259" customFormat="1"/>
    <row r="8699" s="259" customFormat="1"/>
    <row r="8700" s="259" customFormat="1"/>
    <row r="8701" s="259" customFormat="1"/>
    <row r="8702" s="259" customFormat="1"/>
    <row r="8703" s="259" customFormat="1"/>
    <row r="8704" s="259" customFormat="1"/>
    <row r="8705" s="259" customFormat="1"/>
    <row r="8706" s="259" customFormat="1"/>
    <row r="8707" s="259" customFormat="1"/>
    <row r="8708" s="259" customFormat="1"/>
    <row r="8709" s="259" customFormat="1"/>
    <row r="8710" s="259" customFormat="1"/>
    <row r="8711" s="259" customFormat="1"/>
    <row r="8712" s="259" customFormat="1"/>
    <row r="8713" s="259" customFormat="1"/>
    <row r="8714" s="259" customFormat="1"/>
    <row r="8715" s="259" customFormat="1"/>
    <row r="8716" s="259" customFormat="1"/>
    <row r="8717" s="259" customFormat="1"/>
    <row r="8718" s="259" customFormat="1"/>
    <row r="8719" s="259" customFormat="1"/>
    <row r="8720" s="259" customFormat="1"/>
    <row r="8721" s="259" customFormat="1"/>
    <row r="8722" s="259" customFormat="1"/>
    <row r="8723" s="259" customFormat="1"/>
    <row r="8724" s="259" customFormat="1"/>
    <row r="8725" s="259" customFormat="1"/>
    <row r="8726" s="259" customFormat="1"/>
    <row r="8727" s="259" customFormat="1"/>
    <row r="8728" s="259" customFormat="1"/>
    <row r="8729" s="259" customFormat="1"/>
    <row r="8730" s="259" customFormat="1"/>
    <row r="8731" s="259" customFormat="1"/>
    <row r="8732" s="259" customFormat="1"/>
    <row r="8733" s="259" customFormat="1"/>
    <row r="8734" s="259" customFormat="1"/>
    <row r="8735" s="259" customFormat="1"/>
    <row r="8736" s="259" customFormat="1"/>
    <row r="8737" s="259" customFormat="1"/>
    <row r="8738" s="259" customFormat="1"/>
    <row r="8739" s="259" customFormat="1"/>
    <row r="8740" s="259" customFormat="1"/>
    <row r="8741" s="259" customFormat="1"/>
    <row r="8742" s="259" customFormat="1"/>
    <row r="8743" s="259" customFormat="1"/>
    <row r="8744" s="259" customFormat="1"/>
    <row r="8745" s="259" customFormat="1"/>
    <row r="8746" s="259" customFormat="1"/>
    <row r="8747" s="259" customFormat="1"/>
    <row r="8748" s="259" customFormat="1"/>
    <row r="8749" s="259" customFormat="1"/>
    <row r="8750" s="259" customFormat="1"/>
    <row r="8751" s="259" customFormat="1"/>
    <row r="8752" s="259" customFormat="1"/>
    <row r="8753" s="259" customFormat="1"/>
    <row r="8754" s="259" customFormat="1"/>
    <row r="8755" s="259" customFormat="1"/>
    <row r="8756" s="259" customFormat="1"/>
    <row r="8757" s="259" customFormat="1"/>
    <row r="8758" s="259" customFormat="1"/>
    <row r="8759" s="259" customFormat="1"/>
    <row r="8760" s="259" customFormat="1"/>
    <row r="8761" s="259" customFormat="1"/>
    <row r="8762" s="259" customFormat="1"/>
    <row r="8763" s="259" customFormat="1"/>
    <row r="8764" s="259" customFormat="1"/>
    <row r="8765" s="259" customFormat="1"/>
    <row r="8766" s="259" customFormat="1"/>
    <row r="8767" s="259" customFormat="1"/>
    <row r="8768" s="259" customFormat="1"/>
    <row r="8769" s="259" customFormat="1"/>
    <row r="8770" s="259" customFormat="1"/>
    <row r="8771" s="259" customFormat="1"/>
    <row r="8772" s="259" customFormat="1"/>
    <row r="8773" s="259" customFormat="1"/>
    <row r="8774" s="259" customFormat="1"/>
    <row r="8775" s="259" customFormat="1"/>
    <row r="8776" s="259" customFormat="1"/>
    <row r="8777" s="259" customFormat="1"/>
    <row r="8778" s="259" customFormat="1"/>
    <row r="8779" s="259" customFormat="1"/>
    <row r="8780" s="259" customFormat="1"/>
    <row r="8781" s="259" customFormat="1"/>
    <row r="8782" s="259" customFormat="1"/>
    <row r="8783" s="259" customFormat="1"/>
    <row r="8784" s="259" customFormat="1"/>
    <row r="8785" s="259" customFormat="1"/>
    <row r="8786" s="259" customFormat="1"/>
    <row r="8787" s="259" customFormat="1"/>
    <row r="8788" s="259" customFormat="1"/>
    <row r="8789" s="259" customFormat="1"/>
    <row r="8790" s="259" customFormat="1"/>
    <row r="8791" s="259" customFormat="1"/>
    <row r="8792" s="259" customFormat="1"/>
    <row r="8793" s="259" customFormat="1"/>
    <row r="8794" s="259" customFormat="1"/>
    <row r="8795" s="259" customFormat="1"/>
    <row r="8796" s="259" customFormat="1"/>
    <row r="8797" s="259" customFormat="1"/>
    <row r="8798" s="259" customFormat="1"/>
    <row r="8799" s="259" customFormat="1"/>
    <row r="8800" s="259" customFormat="1"/>
    <row r="8801" s="259" customFormat="1"/>
    <row r="8802" s="259" customFormat="1"/>
    <row r="8803" s="259" customFormat="1"/>
    <row r="8804" s="259" customFormat="1"/>
    <row r="8805" s="259" customFormat="1"/>
    <row r="8806" s="259" customFormat="1"/>
    <row r="8807" s="259" customFormat="1"/>
    <row r="8808" s="259" customFormat="1"/>
    <row r="8809" s="259" customFormat="1"/>
    <row r="8810" s="259" customFormat="1"/>
    <row r="8811" s="259" customFormat="1"/>
    <row r="8812" s="259" customFormat="1"/>
    <row r="8813" s="259" customFormat="1"/>
    <row r="8814" s="259" customFormat="1"/>
    <row r="8815" s="259" customFormat="1"/>
    <row r="8816" s="259" customFormat="1"/>
    <row r="8817" s="259" customFormat="1"/>
    <row r="8818" s="259" customFormat="1"/>
    <row r="8819" s="259" customFormat="1"/>
    <row r="8820" s="259" customFormat="1"/>
    <row r="8821" s="259" customFormat="1"/>
    <row r="8822" s="259" customFormat="1"/>
    <row r="8823" s="259" customFormat="1"/>
    <row r="8824" s="259" customFormat="1"/>
    <row r="8825" s="259" customFormat="1"/>
    <row r="8826" s="259" customFormat="1"/>
    <row r="8827" s="259" customFormat="1"/>
    <row r="8828" s="259" customFormat="1"/>
    <row r="8829" s="259" customFormat="1"/>
    <row r="8830" s="259" customFormat="1"/>
    <row r="8831" s="259" customFormat="1"/>
    <row r="8832" s="259" customFormat="1"/>
    <row r="8833" s="259" customFormat="1"/>
    <row r="8834" s="259" customFormat="1"/>
    <row r="8835" s="259" customFormat="1"/>
    <row r="8836" s="259" customFormat="1"/>
    <row r="8837" s="259" customFormat="1"/>
    <row r="8838" s="259" customFormat="1"/>
    <row r="8839" s="259" customFormat="1"/>
    <row r="8840" s="259" customFormat="1"/>
    <row r="8841" s="259" customFormat="1"/>
    <row r="8842" s="259" customFormat="1"/>
    <row r="8843" s="259" customFormat="1"/>
    <row r="8844" s="259" customFormat="1"/>
    <row r="8845" s="259" customFormat="1"/>
    <row r="8846" s="259" customFormat="1"/>
    <row r="8847" s="259" customFormat="1"/>
    <row r="8848" s="259" customFormat="1"/>
    <row r="8849" s="259" customFormat="1"/>
    <row r="8850" s="259" customFormat="1"/>
    <row r="8851" s="259" customFormat="1"/>
    <row r="8852" s="259" customFormat="1"/>
    <row r="8853" s="259" customFormat="1"/>
    <row r="8854" s="259" customFormat="1"/>
    <row r="8855" s="259" customFormat="1"/>
    <row r="8856" s="259" customFormat="1"/>
    <row r="8857" s="259" customFormat="1"/>
    <row r="8858" s="259" customFormat="1"/>
    <row r="8859" s="259" customFormat="1"/>
    <row r="8860" s="259" customFormat="1"/>
    <row r="8861" s="259" customFormat="1"/>
    <row r="8862" s="259" customFormat="1"/>
    <row r="8863" s="259" customFormat="1"/>
    <row r="8864" s="259" customFormat="1"/>
    <row r="8865" s="259" customFormat="1"/>
    <row r="8866" s="259" customFormat="1"/>
    <row r="8867" s="259" customFormat="1"/>
    <row r="8868" s="259" customFormat="1"/>
    <row r="8869" s="259" customFormat="1"/>
    <row r="8870" s="259" customFormat="1"/>
    <row r="8871" s="259" customFormat="1"/>
    <row r="8872" s="259" customFormat="1"/>
    <row r="8873" s="259" customFormat="1"/>
    <row r="8874" s="259" customFormat="1"/>
    <row r="8875" s="259" customFormat="1"/>
    <row r="8876" s="259" customFormat="1"/>
    <row r="8877" s="259" customFormat="1"/>
    <row r="8878" s="259" customFormat="1"/>
    <row r="8879" s="259" customFormat="1"/>
    <row r="8880" s="259" customFormat="1"/>
    <row r="8881" s="259" customFormat="1"/>
    <row r="8882" s="259" customFormat="1"/>
    <row r="8883" s="259" customFormat="1"/>
    <row r="8884" s="259" customFormat="1"/>
    <row r="8885" s="259" customFormat="1"/>
    <row r="8886" s="259" customFormat="1"/>
    <row r="8887" s="259" customFormat="1"/>
    <row r="8888" s="259" customFormat="1"/>
    <row r="8889" s="259" customFormat="1"/>
    <row r="8890" s="259" customFormat="1"/>
    <row r="8891" s="259" customFormat="1"/>
    <row r="8892" s="259" customFormat="1"/>
    <row r="8893" s="259" customFormat="1"/>
    <row r="8894" s="259" customFormat="1"/>
    <row r="8895" s="259" customFormat="1"/>
    <row r="8896" s="259" customFormat="1"/>
    <row r="8897" s="259" customFormat="1"/>
    <row r="8898" s="259" customFormat="1"/>
    <row r="8899" s="259" customFormat="1"/>
    <row r="8900" s="259" customFormat="1"/>
    <row r="8901" s="259" customFormat="1"/>
    <row r="8902" s="259" customFormat="1"/>
    <row r="8903" s="259" customFormat="1"/>
    <row r="8904" s="259" customFormat="1"/>
    <row r="8905" s="259" customFormat="1"/>
    <row r="8906" s="259" customFormat="1"/>
    <row r="8907" s="259" customFormat="1"/>
    <row r="8908" s="259" customFormat="1"/>
    <row r="8909" s="259" customFormat="1"/>
    <row r="8910" s="259" customFormat="1"/>
    <row r="8911" s="259" customFormat="1"/>
    <row r="8912" s="259" customFormat="1"/>
    <row r="8913" s="259" customFormat="1"/>
    <row r="8914" s="259" customFormat="1"/>
    <row r="8915" s="259" customFormat="1"/>
    <row r="8916" s="259" customFormat="1"/>
    <row r="8917" s="259" customFormat="1"/>
    <row r="8918" s="259" customFormat="1"/>
    <row r="8919" s="259" customFormat="1"/>
    <row r="8920" s="259" customFormat="1"/>
    <row r="8921" s="259" customFormat="1"/>
    <row r="8922" s="259" customFormat="1"/>
    <row r="8923" s="259" customFormat="1"/>
    <row r="8924" s="259" customFormat="1"/>
    <row r="8925" s="259" customFormat="1"/>
    <row r="8926" s="259" customFormat="1"/>
    <row r="8927" s="259" customFormat="1"/>
    <row r="8928" s="259" customFormat="1"/>
    <row r="8929" s="259" customFormat="1"/>
    <row r="8930" s="259" customFormat="1"/>
    <row r="8931" s="259" customFormat="1"/>
    <row r="8932" s="259" customFormat="1"/>
    <row r="8933" s="259" customFormat="1"/>
    <row r="8934" s="259" customFormat="1"/>
    <row r="8935" s="259" customFormat="1"/>
    <row r="8936" s="259" customFormat="1"/>
    <row r="8937" s="259" customFormat="1"/>
    <row r="8938" s="259" customFormat="1"/>
    <row r="8939" s="259" customFormat="1"/>
    <row r="8940" s="259" customFormat="1"/>
    <row r="8941" s="259" customFormat="1"/>
    <row r="8942" s="259" customFormat="1"/>
    <row r="8943" s="259" customFormat="1"/>
    <row r="8944" s="259" customFormat="1"/>
    <row r="8945" s="259" customFormat="1"/>
    <row r="8946" s="259" customFormat="1"/>
    <row r="8947" s="259" customFormat="1"/>
    <row r="8948" s="259" customFormat="1"/>
    <row r="8949" s="259" customFormat="1"/>
    <row r="8950" s="259" customFormat="1"/>
    <row r="8951" s="259" customFormat="1"/>
    <row r="8952" s="259" customFormat="1"/>
    <row r="8953" s="259" customFormat="1"/>
    <row r="8954" s="259" customFormat="1"/>
    <row r="8955" s="259" customFormat="1"/>
    <row r="8956" s="259" customFormat="1"/>
    <row r="8957" s="259" customFormat="1"/>
    <row r="8958" s="259" customFormat="1"/>
    <row r="8959" s="259" customFormat="1"/>
    <row r="8960" s="259" customFormat="1"/>
    <row r="8961" s="259" customFormat="1"/>
    <row r="8962" s="259" customFormat="1"/>
    <row r="8963" s="259" customFormat="1"/>
    <row r="8964" s="259" customFormat="1"/>
    <row r="8965" s="259" customFormat="1"/>
    <row r="8966" s="259" customFormat="1"/>
    <row r="8967" s="259" customFormat="1"/>
    <row r="8968" s="259" customFormat="1"/>
    <row r="8969" s="259" customFormat="1"/>
    <row r="8970" s="259" customFormat="1"/>
    <row r="8971" s="259" customFormat="1"/>
    <row r="8972" s="259" customFormat="1"/>
    <row r="8973" s="259" customFormat="1"/>
    <row r="8974" s="259" customFormat="1"/>
    <row r="8975" s="259" customFormat="1"/>
    <row r="8976" s="259" customFormat="1"/>
    <row r="8977" s="259" customFormat="1"/>
    <row r="8978" s="259" customFormat="1"/>
    <row r="8979" s="259" customFormat="1"/>
    <row r="8980" s="259" customFormat="1"/>
    <row r="8981" s="259" customFormat="1"/>
    <row r="8982" s="259" customFormat="1"/>
    <row r="8983" s="259" customFormat="1"/>
    <row r="8984" s="259" customFormat="1"/>
    <row r="8985" s="259" customFormat="1"/>
    <row r="8986" s="259" customFormat="1"/>
    <row r="8987" s="259" customFormat="1"/>
    <row r="8988" s="259" customFormat="1"/>
    <row r="8989" s="259" customFormat="1"/>
    <row r="8990" s="259" customFormat="1"/>
    <row r="8991" s="259" customFormat="1"/>
    <row r="8992" s="259" customFormat="1"/>
    <row r="8993" s="259" customFormat="1"/>
    <row r="8994" s="259" customFormat="1"/>
    <row r="8995" s="259" customFormat="1"/>
    <row r="8996" s="259" customFormat="1"/>
    <row r="8997" s="259" customFormat="1"/>
    <row r="8998" s="259" customFormat="1"/>
    <row r="8999" s="259" customFormat="1"/>
    <row r="9000" s="259" customFormat="1"/>
    <row r="9001" s="259" customFormat="1"/>
    <row r="9002" s="259" customFormat="1"/>
    <row r="9003" s="259" customFormat="1"/>
    <row r="9004" s="259" customFormat="1"/>
    <row r="9005" s="259" customFormat="1"/>
    <row r="9006" s="259" customFormat="1"/>
    <row r="9007" s="259" customFormat="1"/>
    <row r="9008" s="259" customFormat="1"/>
    <row r="9009" s="259" customFormat="1"/>
    <row r="9010" s="259" customFormat="1"/>
    <row r="9011" s="259" customFormat="1"/>
    <row r="9012" s="259" customFormat="1"/>
    <row r="9013" s="259" customFormat="1"/>
    <row r="9014" s="259" customFormat="1"/>
    <row r="9015" s="259" customFormat="1"/>
    <row r="9016" s="259" customFormat="1"/>
    <row r="9017" s="259" customFormat="1"/>
    <row r="9018" s="259" customFormat="1"/>
    <row r="9019" s="259" customFormat="1"/>
    <row r="9020" s="259" customFormat="1"/>
    <row r="9021" s="259" customFormat="1"/>
    <row r="9022" s="259" customFormat="1"/>
    <row r="9023" s="259" customFormat="1"/>
    <row r="9024" s="259" customFormat="1"/>
    <row r="9025" s="259" customFormat="1"/>
    <row r="9026" s="259" customFormat="1"/>
    <row r="9027" s="259" customFormat="1"/>
    <row r="9028" s="259" customFormat="1"/>
    <row r="9029" s="259" customFormat="1"/>
    <row r="9030" s="259" customFormat="1"/>
    <row r="9031" s="259" customFormat="1"/>
    <row r="9032" s="259" customFormat="1"/>
    <row r="9033" s="259" customFormat="1"/>
    <row r="9034" s="259" customFormat="1"/>
    <row r="9035" s="259" customFormat="1"/>
    <row r="9036" s="259" customFormat="1"/>
    <row r="9037" s="259" customFormat="1"/>
    <row r="9038" s="259" customFormat="1"/>
    <row r="9039" s="259" customFormat="1"/>
    <row r="9040" s="259" customFormat="1"/>
    <row r="9041" s="259" customFormat="1"/>
    <row r="9042" s="259" customFormat="1"/>
    <row r="9043" s="259" customFormat="1"/>
    <row r="9044" s="259" customFormat="1"/>
    <row r="9045" s="259" customFormat="1"/>
    <row r="9046" s="259" customFormat="1"/>
    <row r="9047" s="259" customFormat="1"/>
    <row r="9048" s="259" customFormat="1"/>
    <row r="9049" s="259" customFormat="1"/>
    <row r="9050" s="259" customFormat="1"/>
    <row r="9051" s="259" customFormat="1"/>
    <row r="9052" s="259" customFormat="1"/>
    <row r="9053" s="259" customFormat="1"/>
    <row r="9054" s="259" customFormat="1"/>
    <row r="9055" s="259" customFormat="1"/>
    <row r="9056" s="259" customFormat="1"/>
    <row r="9057" s="259" customFormat="1"/>
    <row r="9058" s="259" customFormat="1"/>
    <row r="9059" s="259" customFormat="1"/>
    <row r="9060" s="259" customFormat="1"/>
    <row r="9061" s="259" customFormat="1"/>
    <row r="9062" s="259" customFormat="1"/>
    <row r="9063" s="259" customFormat="1"/>
    <row r="9064" s="259" customFormat="1"/>
    <row r="9065" s="259" customFormat="1"/>
    <row r="9066" s="259" customFormat="1"/>
    <row r="9067" s="259" customFormat="1"/>
    <row r="9068" s="259" customFormat="1"/>
    <row r="9069" s="259" customFormat="1"/>
    <row r="9070" s="259" customFormat="1"/>
    <row r="9071" s="259" customFormat="1"/>
    <row r="9072" s="259" customFormat="1"/>
    <row r="9073" s="259" customFormat="1"/>
    <row r="9074" s="259" customFormat="1"/>
    <row r="9075" s="259" customFormat="1"/>
    <row r="9076" s="259" customFormat="1"/>
    <row r="9077" s="259" customFormat="1"/>
    <row r="9078" s="259" customFormat="1"/>
    <row r="9079" s="259" customFormat="1"/>
    <row r="9080" s="259" customFormat="1"/>
    <row r="9081" s="259" customFormat="1"/>
    <row r="9082" s="259" customFormat="1"/>
    <row r="9083" s="259" customFormat="1"/>
    <row r="9084" s="259" customFormat="1"/>
    <row r="9085" s="259" customFormat="1"/>
    <row r="9086" s="259" customFormat="1"/>
    <row r="9087" s="259" customFormat="1"/>
    <row r="9088" s="259" customFormat="1"/>
    <row r="9089" s="259" customFormat="1"/>
    <row r="9090" s="259" customFormat="1"/>
    <row r="9091" s="259" customFormat="1"/>
    <row r="9092" s="259" customFormat="1"/>
    <row r="9093" s="259" customFormat="1"/>
    <row r="9094" s="259" customFormat="1"/>
    <row r="9095" s="259" customFormat="1"/>
    <row r="9096" s="259" customFormat="1"/>
    <row r="9097" s="259" customFormat="1"/>
    <row r="9098" s="259" customFormat="1"/>
    <row r="9099" s="259" customFormat="1"/>
    <row r="9100" s="259" customFormat="1"/>
    <row r="9101" s="259" customFormat="1"/>
    <row r="9102" s="259" customFormat="1"/>
    <row r="9103" s="259" customFormat="1"/>
    <row r="9104" s="259" customFormat="1"/>
    <row r="9105" s="259" customFormat="1"/>
    <row r="9106" s="259" customFormat="1"/>
    <row r="9107" s="259" customFormat="1"/>
    <row r="9108" s="259" customFormat="1"/>
    <row r="9109" s="259" customFormat="1"/>
    <row r="9110" s="259" customFormat="1"/>
    <row r="9111" s="259" customFormat="1"/>
    <row r="9112" s="259" customFormat="1"/>
    <row r="9113" s="259" customFormat="1"/>
    <row r="9114" s="259" customFormat="1"/>
    <row r="9115" s="259" customFormat="1"/>
    <row r="9116" s="259" customFormat="1"/>
    <row r="9117" s="259" customFormat="1"/>
    <row r="9118" s="259" customFormat="1"/>
    <row r="9119" s="259" customFormat="1"/>
    <row r="9120" s="259" customFormat="1"/>
    <row r="9121" s="259" customFormat="1"/>
    <row r="9122" s="259" customFormat="1"/>
    <row r="9123" s="259" customFormat="1"/>
    <row r="9124" s="259" customFormat="1"/>
    <row r="9125" s="259" customFormat="1"/>
    <row r="9126" s="259" customFormat="1"/>
    <row r="9127" s="259" customFormat="1"/>
    <row r="9128" s="259" customFormat="1"/>
    <row r="9129" s="259" customFormat="1"/>
    <row r="9130" s="259" customFormat="1"/>
    <row r="9131" s="259" customFormat="1"/>
    <row r="9132" s="259" customFormat="1"/>
    <row r="9133" s="259" customFormat="1"/>
    <row r="9134" s="259" customFormat="1"/>
    <row r="9135" s="259" customFormat="1"/>
    <row r="9136" s="259" customFormat="1"/>
    <row r="9137" s="259" customFormat="1"/>
    <row r="9138" s="259" customFormat="1"/>
    <row r="9139" s="259" customFormat="1"/>
    <row r="9140" s="259" customFormat="1"/>
    <row r="9141" s="259" customFormat="1"/>
    <row r="9142" s="259" customFormat="1"/>
    <row r="9143" s="259" customFormat="1"/>
    <row r="9144" s="259" customFormat="1"/>
    <row r="9145" s="259" customFormat="1"/>
    <row r="9146" s="259" customFormat="1"/>
    <row r="9147" s="259" customFormat="1"/>
    <row r="9148" s="259" customFormat="1"/>
    <row r="9149" s="259" customFormat="1"/>
    <row r="9150" s="259" customFormat="1"/>
    <row r="9151" s="259" customFormat="1"/>
    <row r="9152" s="259" customFormat="1"/>
    <row r="9153" s="259" customFormat="1"/>
    <row r="9154" s="259" customFormat="1"/>
    <row r="9155" s="259" customFormat="1"/>
    <row r="9156" s="259" customFormat="1"/>
    <row r="9157" s="259" customFormat="1"/>
    <row r="9158" s="259" customFormat="1"/>
    <row r="9159" s="259" customFormat="1"/>
    <row r="9160" s="259" customFormat="1"/>
    <row r="9161" s="259" customFormat="1"/>
    <row r="9162" s="259" customFormat="1"/>
    <row r="9163" s="259" customFormat="1"/>
    <row r="9164" s="259" customFormat="1"/>
    <row r="9165" s="259" customFormat="1"/>
    <row r="9166" s="259" customFormat="1"/>
    <row r="9167" s="259" customFormat="1"/>
    <row r="9168" s="259" customFormat="1"/>
    <row r="9169" s="259" customFormat="1"/>
    <row r="9170" s="259" customFormat="1"/>
    <row r="9171" s="259" customFormat="1"/>
    <row r="9172" s="259" customFormat="1"/>
    <row r="9173" s="259" customFormat="1"/>
    <row r="9174" s="259" customFormat="1"/>
    <row r="9175" s="259" customFormat="1"/>
    <row r="9176" s="259" customFormat="1"/>
    <row r="9177" s="259" customFormat="1"/>
    <row r="9178" s="259" customFormat="1"/>
    <row r="9179" s="259" customFormat="1"/>
    <row r="9180" s="259" customFormat="1"/>
    <row r="9181" s="259" customFormat="1"/>
    <row r="9182" s="259" customFormat="1"/>
    <row r="9183" s="259" customFormat="1"/>
    <row r="9184" s="259" customFormat="1"/>
    <row r="9185" s="259" customFormat="1"/>
    <row r="9186" s="259" customFormat="1"/>
    <row r="9187" s="259" customFormat="1"/>
    <row r="9188" s="259" customFormat="1"/>
    <row r="9189" s="259" customFormat="1"/>
    <row r="9190" s="259" customFormat="1"/>
    <row r="9191" s="259" customFormat="1"/>
    <row r="9192" s="259" customFormat="1"/>
    <row r="9193" s="259" customFormat="1"/>
    <row r="9194" s="259" customFormat="1"/>
    <row r="9195" s="259" customFormat="1"/>
    <row r="9196" s="259" customFormat="1"/>
    <row r="9197" s="259" customFormat="1"/>
    <row r="9198" s="259" customFormat="1"/>
    <row r="9199" s="259" customFormat="1"/>
    <row r="9200" s="259" customFormat="1"/>
    <row r="9201" s="259" customFormat="1"/>
    <row r="9202" s="259" customFormat="1"/>
    <row r="9203" s="259" customFormat="1"/>
    <row r="9204" s="259" customFormat="1"/>
    <row r="9205" s="259" customFormat="1"/>
    <row r="9206" s="259" customFormat="1"/>
    <row r="9207" s="259" customFormat="1"/>
    <row r="9208" s="259" customFormat="1"/>
    <row r="9209" s="259" customFormat="1"/>
    <row r="9210" s="259" customFormat="1"/>
    <row r="9211" s="259" customFormat="1"/>
    <row r="9212" s="259" customFormat="1"/>
    <row r="9213" s="259" customFormat="1"/>
    <row r="9214" s="259" customFormat="1"/>
    <row r="9215" s="259" customFormat="1"/>
    <row r="9216" s="259" customFormat="1"/>
    <row r="9217" s="259" customFormat="1"/>
    <row r="9218" s="259" customFormat="1"/>
    <row r="9219" s="259" customFormat="1"/>
    <row r="9220" s="259" customFormat="1"/>
    <row r="9221" s="259" customFormat="1"/>
    <row r="9222" s="259" customFormat="1"/>
    <row r="9223" s="259" customFormat="1"/>
    <row r="9224" s="259" customFormat="1"/>
    <row r="9225" s="259" customFormat="1"/>
    <row r="9226" s="259" customFormat="1"/>
    <row r="9227" s="259" customFormat="1"/>
    <row r="9228" s="259" customFormat="1"/>
    <row r="9229" s="259" customFormat="1"/>
    <row r="9230" s="259" customFormat="1"/>
    <row r="9231" s="259" customFormat="1"/>
    <row r="9232" s="259" customFormat="1"/>
    <row r="9233" s="259" customFormat="1"/>
    <row r="9234" s="259" customFormat="1"/>
    <row r="9235" s="259" customFormat="1"/>
    <row r="9236" s="259" customFormat="1"/>
    <row r="9237" s="259" customFormat="1"/>
    <row r="9238" s="259" customFormat="1"/>
    <row r="9239" s="259" customFormat="1"/>
    <row r="9240" s="259" customFormat="1"/>
    <row r="9241" s="259" customFormat="1"/>
    <row r="9242" s="259" customFormat="1"/>
    <row r="9243" s="259" customFormat="1"/>
    <row r="9244" s="259" customFormat="1"/>
    <row r="9245" s="259" customFormat="1"/>
    <row r="9246" s="259" customFormat="1"/>
    <row r="9247" s="259" customFormat="1"/>
    <row r="9248" s="259" customFormat="1"/>
    <row r="9249" s="259" customFormat="1"/>
    <row r="9250" s="259" customFormat="1"/>
    <row r="9251" s="259" customFormat="1"/>
    <row r="9252" s="259" customFormat="1"/>
    <row r="9253" s="259" customFormat="1"/>
    <row r="9254" s="259" customFormat="1"/>
    <row r="9255" s="259" customFormat="1"/>
    <row r="9256" s="259" customFormat="1"/>
    <row r="9257" s="259" customFormat="1"/>
    <row r="9258" s="259" customFormat="1"/>
    <row r="9259" s="259" customFormat="1"/>
    <row r="9260" s="259" customFormat="1"/>
    <row r="9261" s="259" customFormat="1"/>
    <row r="9262" s="259" customFormat="1"/>
    <row r="9263" s="259" customFormat="1"/>
    <row r="9264" s="259" customFormat="1"/>
    <row r="9265" s="259" customFormat="1"/>
    <row r="9266" s="259" customFormat="1"/>
    <row r="9267" s="259" customFormat="1"/>
    <row r="9268" s="259" customFormat="1"/>
    <row r="9269" s="259" customFormat="1"/>
    <row r="9270" s="259" customFormat="1"/>
    <row r="9271" s="259" customFormat="1"/>
    <row r="9272" s="259" customFormat="1"/>
    <row r="9273" s="259" customFormat="1"/>
    <row r="9274" s="259" customFormat="1"/>
    <row r="9275" s="259" customFormat="1"/>
    <row r="9276" s="259" customFormat="1"/>
    <row r="9277" s="259" customFormat="1"/>
    <row r="9278" s="259" customFormat="1"/>
    <row r="9279" s="259" customFormat="1"/>
    <row r="9280" s="259" customFormat="1"/>
    <row r="9281" s="259" customFormat="1"/>
    <row r="9282" s="259" customFormat="1"/>
    <row r="9283" s="259" customFormat="1"/>
    <row r="9284" s="259" customFormat="1"/>
    <row r="9285" s="259" customFormat="1"/>
    <row r="9286" s="259" customFormat="1"/>
    <row r="9287" s="259" customFormat="1"/>
    <row r="9288" s="259" customFormat="1"/>
    <row r="9289" s="259" customFormat="1"/>
    <row r="9290" s="259" customFormat="1"/>
    <row r="9291" s="259" customFormat="1"/>
    <row r="9292" s="259" customFormat="1"/>
    <row r="9293" s="259" customFormat="1"/>
    <row r="9294" s="259" customFormat="1"/>
    <row r="9295" s="259" customFormat="1"/>
    <row r="9296" s="259" customFormat="1"/>
    <row r="9297" s="259" customFormat="1"/>
    <row r="9298" s="259" customFormat="1"/>
    <row r="9299" s="259" customFormat="1"/>
    <row r="9300" s="259" customFormat="1"/>
    <row r="9301" s="259" customFormat="1"/>
    <row r="9302" s="259" customFormat="1"/>
    <row r="9303" s="259" customFormat="1"/>
    <row r="9304" s="259" customFormat="1"/>
    <row r="9305" s="259" customFormat="1"/>
    <row r="9306" s="259" customFormat="1"/>
    <row r="9307" s="259" customFormat="1"/>
    <row r="9308" s="259" customFormat="1"/>
    <row r="9309" s="259" customFormat="1"/>
    <row r="9310" s="259" customFormat="1"/>
    <row r="9311" s="259" customFormat="1"/>
    <row r="9312" s="259" customFormat="1"/>
    <row r="9313" s="259" customFormat="1"/>
    <row r="9314" s="259" customFormat="1"/>
    <row r="9315" s="259" customFormat="1"/>
    <row r="9316" s="259" customFormat="1"/>
    <row r="9317" s="259" customFormat="1"/>
    <row r="9318" s="259" customFormat="1"/>
    <row r="9319" s="259" customFormat="1"/>
    <row r="9320" s="259" customFormat="1"/>
    <row r="9321" s="259" customFormat="1"/>
    <row r="9322" s="259" customFormat="1"/>
    <row r="9323" s="259" customFormat="1"/>
    <row r="9324" s="259" customFormat="1"/>
    <row r="9325" s="259" customFormat="1"/>
    <row r="9326" s="259" customFormat="1"/>
    <row r="9327" s="259" customFormat="1"/>
    <row r="9328" s="259" customFormat="1"/>
    <row r="9329" s="259" customFormat="1"/>
    <row r="9330" s="259" customFormat="1"/>
    <row r="9331" s="259" customFormat="1"/>
    <row r="9332" s="259" customFormat="1"/>
    <row r="9333" s="259" customFormat="1"/>
    <row r="9334" s="259" customFormat="1"/>
    <row r="9335" s="259" customFormat="1"/>
    <row r="9336" s="259" customFormat="1"/>
    <row r="9337" s="259" customFormat="1"/>
    <row r="9338" s="259" customFormat="1"/>
    <row r="9339" s="259" customFormat="1"/>
    <row r="9340" s="259" customFormat="1"/>
    <row r="9341" s="259" customFormat="1"/>
    <row r="9342" s="259" customFormat="1"/>
    <row r="9343" s="259" customFormat="1"/>
    <row r="9344" s="259" customFormat="1"/>
    <row r="9345" s="259" customFormat="1"/>
    <row r="9346" s="259" customFormat="1"/>
    <row r="9347" s="259" customFormat="1"/>
    <row r="9348" s="259" customFormat="1"/>
    <row r="9349" s="259" customFormat="1"/>
    <row r="9350" s="259" customFormat="1"/>
    <row r="9351" s="259" customFormat="1"/>
    <row r="9352" s="259" customFormat="1"/>
    <row r="9353" s="259" customFormat="1"/>
    <row r="9354" s="259" customFormat="1"/>
    <row r="9355" s="259" customFormat="1"/>
    <row r="9356" s="259" customFormat="1"/>
    <row r="9357" s="259" customFormat="1"/>
    <row r="9358" s="259" customFormat="1"/>
    <row r="9359" s="259" customFormat="1"/>
    <row r="9360" s="259" customFormat="1"/>
    <row r="9361" s="259" customFormat="1"/>
    <row r="9362" s="259" customFormat="1"/>
    <row r="9363" s="259" customFormat="1"/>
    <row r="9364" s="259" customFormat="1"/>
    <row r="9365" s="259" customFormat="1"/>
    <row r="9366" s="259" customFormat="1"/>
    <row r="9367" s="259" customFormat="1"/>
    <row r="9368" s="259" customFormat="1"/>
    <row r="9369" s="259" customFormat="1"/>
    <row r="9370" s="259" customFormat="1"/>
    <row r="9371" s="259" customFormat="1"/>
    <row r="9372" s="259" customFormat="1"/>
    <row r="9373" s="259" customFormat="1"/>
    <row r="9374" s="259" customFormat="1"/>
    <row r="9375" s="259" customFormat="1"/>
    <row r="9376" s="259" customFormat="1"/>
    <row r="9377" s="259" customFormat="1"/>
    <row r="9378" s="259" customFormat="1"/>
    <row r="9379" s="259" customFormat="1"/>
    <row r="9380" s="259" customFormat="1"/>
    <row r="9381" s="259" customFormat="1"/>
    <row r="9382" s="259" customFormat="1"/>
    <row r="9383" s="259" customFormat="1"/>
    <row r="9384" s="259" customFormat="1"/>
    <row r="9385" s="259" customFormat="1"/>
    <row r="9386" s="259" customFormat="1"/>
    <row r="9387" s="259" customFormat="1"/>
    <row r="9388" s="259" customFormat="1"/>
    <row r="9389" s="259" customFormat="1"/>
    <row r="9390" s="259" customFormat="1"/>
    <row r="9391" s="259" customFormat="1"/>
    <row r="9392" s="259" customFormat="1"/>
    <row r="9393" s="259" customFormat="1"/>
    <row r="9394" s="259" customFormat="1"/>
    <row r="9395" s="259" customFormat="1"/>
    <row r="9396" s="259" customFormat="1"/>
    <row r="9397" s="259" customFormat="1"/>
    <row r="9398" s="259" customFormat="1"/>
    <row r="9399" s="259" customFormat="1"/>
    <row r="9400" s="259" customFormat="1"/>
    <row r="9401" s="259" customFormat="1"/>
    <row r="9402" s="259" customFormat="1"/>
    <row r="9403" s="259" customFormat="1"/>
    <row r="9404" s="259" customFormat="1"/>
    <row r="9405" s="259" customFormat="1"/>
    <row r="9406" s="259" customFormat="1"/>
    <row r="9407" s="259" customFormat="1"/>
    <row r="9408" s="259" customFormat="1"/>
    <row r="9409" s="259" customFormat="1"/>
    <row r="9410" s="259" customFormat="1"/>
    <row r="9411" s="259" customFormat="1"/>
    <row r="9412" s="259" customFormat="1"/>
    <row r="9413" s="259" customFormat="1"/>
    <row r="9414" s="259" customFormat="1"/>
    <row r="9415" s="259" customFormat="1"/>
    <row r="9416" s="259" customFormat="1"/>
    <row r="9417" s="259" customFormat="1"/>
    <row r="9418" s="259" customFormat="1"/>
    <row r="9419" s="259" customFormat="1"/>
    <row r="9420" s="259" customFormat="1"/>
    <row r="9421" s="259" customFormat="1"/>
    <row r="9422" s="259" customFormat="1"/>
    <row r="9423" s="259" customFormat="1"/>
    <row r="9424" s="259" customFormat="1"/>
    <row r="9425" s="259" customFormat="1"/>
    <row r="9426" s="259" customFormat="1"/>
    <row r="9427" s="259" customFormat="1"/>
    <row r="9428" s="259" customFormat="1"/>
    <row r="9429" s="259" customFormat="1"/>
    <row r="9430" s="259" customFormat="1"/>
    <row r="9431" s="259" customFormat="1"/>
    <row r="9432" s="259" customFormat="1"/>
    <row r="9433" s="259" customFormat="1"/>
    <row r="9434" s="259" customFormat="1"/>
    <row r="9435" s="259" customFormat="1"/>
    <row r="9436" s="259" customFormat="1"/>
    <row r="9437" s="259" customFormat="1"/>
    <row r="9438" s="259" customFormat="1"/>
    <row r="9439" s="259" customFormat="1"/>
    <row r="9440" s="259" customFormat="1"/>
    <row r="9441" s="259" customFormat="1"/>
    <row r="9442" s="259" customFormat="1"/>
    <row r="9443" s="259" customFormat="1"/>
    <row r="9444" s="259" customFormat="1"/>
    <row r="9445" s="259" customFormat="1"/>
    <row r="9446" s="259" customFormat="1"/>
    <row r="9447" s="259" customFormat="1"/>
    <row r="9448" s="259" customFormat="1"/>
    <row r="9449" s="259" customFormat="1"/>
    <row r="9450" s="259" customFormat="1"/>
    <row r="9451" s="259" customFormat="1"/>
    <row r="9452" s="259" customFormat="1"/>
    <row r="9453" s="259" customFormat="1"/>
    <row r="9454" s="259" customFormat="1"/>
    <row r="9455" s="259" customFormat="1"/>
    <row r="9456" s="259" customFormat="1"/>
    <row r="9457" s="259" customFormat="1"/>
    <row r="9458" s="259" customFormat="1"/>
    <row r="9459" s="259" customFormat="1"/>
    <row r="9460" s="259" customFormat="1"/>
    <row r="9461" s="259" customFormat="1"/>
    <row r="9462" s="259" customFormat="1"/>
    <row r="9463" s="259" customFormat="1"/>
    <row r="9464" s="259" customFormat="1"/>
    <row r="9465" s="259" customFormat="1"/>
    <row r="9466" s="259" customFormat="1"/>
    <row r="9467" s="259" customFormat="1"/>
    <row r="9468" s="259" customFormat="1"/>
    <row r="9469" s="259" customFormat="1"/>
    <row r="9470" s="259" customFormat="1"/>
    <row r="9471" s="259" customFormat="1"/>
    <row r="9472" s="259" customFormat="1"/>
    <row r="9473" s="259" customFormat="1"/>
    <row r="9474" s="259" customFormat="1"/>
    <row r="9475" s="259" customFormat="1"/>
    <row r="9476" s="259" customFormat="1"/>
    <row r="9477" s="259" customFormat="1"/>
    <row r="9478" s="259" customFormat="1"/>
    <row r="9479" s="259" customFormat="1"/>
    <row r="9480" s="259" customFormat="1"/>
    <row r="9481" s="259" customFormat="1"/>
    <row r="9482" s="259" customFormat="1"/>
    <row r="9483" s="259" customFormat="1"/>
    <row r="9484" s="259" customFormat="1"/>
    <row r="9485" s="259" customFormat="1"/>
    <row r="9486" s="259" customFormat="1"/>
    <row r="9487" s="259" customFormat="1"/>
    <row r="9488" s="259" customFormat="1"/>
    <row r="9489" s="259" customFormat="1"/>
    <row r="9490" s="259" customFormat="1"/>
    <row r="9491" s="259" customFormat="1"/>
    <row r="9492" s="259" customFormat="1"/>
    <row r="9493" s="259" customFormat="1"/>
    <row r="9494" s="259" customFormat="1"/>
    <row r="9495" s="259" customFormat="1"/>
    <row r="9496" s="259" customFormat="1"/>
    <row r="9497" s="259" customFormat="1"/>
    <row r="9498" s="259" customFormat="1"/>
    <row r="9499" s="259" customFormat="1"/>
    <row r="9500" s="259" customFormat="1"/>
    <row r="9501" s="259" customFormat="1"/>
    <row r="9502" s="259" customFormat="1"/>
    <row r="9503" s="259" customFormat="1"/>
    <row r="9504" s="259" customFormat="1"/>
    <row r="9505" s="259" customFormat="1"/>
    <row r="9506" s="259" customFormat="1"/>
    <row r="9507" s="259" customFormat="1"/>
    <row r="9508" s="259" customFormat="1"/>
    <row r="9509" s="259" customFormat="1"/>
    <row r="9510" s="259" customFormat="1"/>
    <row r="9511" s="259" customFormat="1"/>
    <row r="9512" s="259" customFormat="1"/>
    <row r="9513" s="259" customFormat="1"/>
    <row r="9514" s="259" customFormat="1"/>
    <row r="9515" s="259" customFormat="1"/>
    <row r="9516" s="259" customFormat="1"/>
    <row r="9517" s="259" customFormat="1"/>
    <row r="9518" s="259" customFormat="1"/>
    <row r="9519" s="259" customFormat="1"/>
    <row r="9520" s="259" customFormat="1"/>
    <row r="9521" s="259" customFormat="1"/>
    <row r="9522" s="259" customFormat="1"/>
    <row r="9523" s="259" customFormat="1"/>
    <row r="9524" s="259" customFormat="1"/>
    <row r="9525" s="259" customFormat="1"/>
    <row r="9526" s="259" customFormat="1"/>
    <row r="9527" s="259" customFormat="1"/>
    <row r="9528" s="259" customFormat="1"/>
    <row r="9529" s="259" customFormat="1"/>
    <row r="9530" s="259" customFormat="1"/>
    <row r="9531" s="259" customFormat="1"/>
    <row r="9532" s="259" customFormat="1"/>
    <row r="9533" s="259" customFormat="1"/>
    <row r="9534" s="259" customFormat="1"/>
    <row r="9535" s="259" customFormat="1"/>
    <row r="9536" s="259" customFormat="1"/>
    <row r="9537" s="259" customFormat="1"/>
    <row r="9538" s="259" customFormat="1"/>
    <row r="9539" s="259" customFormat="1"/>
    <row r="9540" s="259" customFormat="1"/>
    <row r="9541" s="259" customFormat="1"/>
    <row r="9542" s="259" customFormat="1"/>
    <row r="9543" s="259" customFormat="1"/>
    <row r="9544" s="259" customFormat="1"/>
    <row r="9545" s="259" customFormat="1"/>
    <row r="9546" s="259" customFormat="1"/>
    <row r="9547" s="259" customFormat="1"/>
    <row r="9548" s="259" customFormat="1"/>
    <row r="9549" s="259" customFormat="1"/>
    <row r="9550" s="259" customFormat="1"/>
    <row r="9551" s="259" customFormat="1"/>
    <row r="9552" s="259" customFormat="1"/>
    <row r="9553" s="259" customFormat="1"/>
    <row r="9554" s="259" customFormat="1"/>
    <row r="9555" s="259" customFormat="1"/>
    <row r="9556" s="259" customFormat="1"/>
    <row r="9557" s="259" customFormat="1"/>
    <row r="9558" s="259" customFormat="1"/>
    <row r="9559" s="259" customFormat="1"/>
    <row r="9560" s="259" customFormat="1"/>
    <row r="9561" s="259" customFormat="1"/>
    <row r="9562" s="259" customFormat="1"/>
    <row r="9563" s="259" customFormat="1"/>
    <row r="9564" s="259" customFormat="1"/>
    <row r="9565" s="259" customFormat="1"/>
    <row r="9566" s="259" customFormat="1"/>
    <row r="9567" s="259" customFormat="1"/>
    <row r="9568" s="259" customFormat="1"/>
    <row r="9569" s="259" customFormat="1"/>
    <row r="9570" s="259" customFormat="1"/>
    <row r="9571" s="259" customFormat="1"/>
    <row r="9572" s="259" customFormat="1"/>
    <row r="9573" s="259" customFormat="1"/>
    <row r="9574" s="259" customFormat="1"/>
    <row r="9575" s="259" customFormat="1"/>
    <row r="9576" s="259" customFormat="1"/>
    <row r="9577" s="259" customFormat="1"/>
    <row r="9578" s="259" customFormat="1"/>
    <row r="9579" s="259" customFormat="1"/>
    <row r="9580" s="259" customFormat="1"/>
    <row r="9581" s="259" customFormat="1"/>
    <row r="9582" s="259" customFormat="1"/>
    <row r="9583" s="259" customFormat="1"/>
    <row r="9584" s="259" customFormat="1"/>
    <row r="9585" s="259" customFormat="1"/>
    <row r="9586" s="259" customFormat="1"/>
    <row r="9587" s="259" customFormat="1"/>
    <row r="9588" s="259" customFormat="1"/>
    <row r="9589" s="259" customFormat="1"/>
    <row r="9590" s="259" customFormat="1"/>
    <row r="9591" s="259" customFormat="1"/>
    <row r="9592" s="259" customFormat="1"/>
    <row r="9593" s="259" customFormat="1"/>
    <row r="9594" s="259" customFormat="1"/>
    <row r="9595" s="259" customFormat="1"/>
    <row r="9596" s="259" customFormat="1"/>
    <row r="9597" s="259" customFormat="1"/>
    <row r="9598" s="259" customFormat="1"/>
    <row r="9599" s="259" customFormat="1"/>
    <row r="9600" s="259" customFormat="1"/>
    <row r="9601" s="259" customFormat="1"/>
    <row r="9602" s="259" customFormat="1"/>
    <row r="9603" s="259" customFormat="1"/>
    <row r="9604" s="259" customFormat="1"/>
    <row r="9605" s="259" customFormat="1"/>
    <row r="9606" s="259" customFormat="1"/>
    <row r="9607" s="259" customFormat="1"/>
    <row r="9608" s="259" customFormat="1"/>
    <row r="9609" s="259" customFormat="1"/>
    <row r="9610" s="259" customFormat="1"/>
    <row r="9611" s="259" customFormat="1"/>
    <row r="9612" s="259" customFormat="1"/>
    <row r="9613" s="259" customFormat="1"/>
    <row r="9614" s="259" customFormat="1"/>
    <row r="9615" s="259" customFormat="1"/>
    <row r="9616" s="259" customFormat="1"/>
    <row r="9617" s="259" customFormat="1"/>
    <row r="9618" s="259" customFormat="1"/>
    <row r="9619" s="259" customFormat="1"/>
    <row r="9620" s="259" customFormat="1"/>
    <row r="9621" s="259" customFormat="1"/>
    <row r="9622" s="259" customFormat="1"/>
    <row r="9623" s="259" customFormat="1"/>
    <row r="9624" s="259" customFormat="1"/>
    <row r="9625" s="259" customFormat="1"/>
    <row r="9626" s="259" customFormat="1"/>
    <row r="9627" s="259" customFormat="1"/>
    <row r="9628" s="259" customFormat="1"/>
    <row r="9629" s="259" customFormat="1"/>
    <row r="9630" s="259" customFormat="1"/>
    <row r="9631" s="259" customFormat="1"/>
    <row r="9632" s="259" customFormat="1"/>
    <row r="9633" s="259" customFormat="1"/>
    <row r="9634" s="259" customFormat="1"/>
    <row r="9635" s="259" customFormat="1"/>
    <row r="9636" s="259" customFormat="1"/>
    <row r="9637" s="259" customFormat="1"/>
    <row r="9638" s="259" customFormat="1"/>
    <row r="9639" s="259" customFormat="1"/>
    <row r="9640" s="259" customFormat="1"/>
    <row r="9641" s="259" customFormat="1"/>
    <row r="9642" s="259" customFormat="1"/>
    <row r="9643" s="259" customFormat="1"/>
    <row r="9644" s="259" customFormat="1"/>
    <row r="9645" s="259" customFormat="1"/>
    <row r="9646" s="259" customFormat="1"/>
    <row r="9647" s="259" customFormat="1"/>
    <row r="9648" s="259" customFormat="1"/>
    <row r="9649" s="259" customFormat="1"/>
    <row r="9650" s="259" customFormat="1"/>
    <row r="9651" s="259" customFormat="1"/>
    <row r="9652" s="259" customFormat="1"/>
    <row r="9653" s="259" customFormat="1"/>
    <row r="9654" s="259" customFormat="1"/>
    <row r="9655" s="259" customFormat="1"/>
    <row r="9656" s="259" customFormat="1"/>
    <row r="9657" s="259" customFormat="1"/>
    <row r="9658" s="259" customFormat="1"/>
    <row r="9659" s="259" customFormat="1"/>
    <row r="9660" s="259" customFormat="1"/>
    <row r="9661" s="259" customFormat="1"/>
    <row r="9662" s="259" customFormat="1"/>
    <row r="9663" s="259" customFormat="1"/>
    <row r="9664" s="259" customFormat="1"/>
    <row r="9665" s="259" customFormat="1"/>
    <row r="9666" s="259" customFormat="1"/>
    <row r="9667" s="259" customFormat="1"/>
    <row r="9668" s="259" customFormat="1"/>
    <row r="9669" s="259" customFormat="1"/>
    <row r="9670" s="259" customFormat="1"/>
    <row r="9671" s="259" customFormat="1"/>
    <row r="9672" s="259" customFormat="1"/>
    <row r="9673" s="259" customFormat="1"/>
    <row r="9674" s="259" customFormat="1"/>
    <row r="9675" s="259" customFormat="1"/>
    <row r="9676" s="259" customFormat="1"/>
    <row r="9677" s="259" customFormat="1"/>
    <row r="9678" s="259" customFormat="1"/>
    <row r="9679" s="259" customFormat="1"/>
    <row r="9680" s="259" customFormat="1"/>
    <row r="9681" s="259" customFormat="1"/>
    <row r="9682" s="259" customFormat="1"/>
    <row r="9683" s="259" customFormat="1"/>
    <row r="9684" s="259" customFormat="1"/>
    <row r="9685" s="259" customFormat="1"/>
    <row r="9686" s="259" customFormat="1"/>
    <row r="9687" s="259" customFormat="1"/>
    <row r="9688" s="259" customFormat="1"/>
    <row r="9689" s="259" customFormat="1"/>
    <row r="9690" s="259" customFormat="1"/>
    <row r="9691" s="259" customFormat="1"/>
    <row r="9692" s="259" customFormat="1"/>
    <row r="9693" s="259" customFormat="1"/>
    <row r="9694" s="259" customFormat="1"/>
    <row r="9695" s="259" customFormat="1"/>
    <row r="9696" s="259" customFormat="1"/>
    <row r="9697" s="259" customFormat="1"/>
    <row r="9698" s="259" customFormat="1"/>
    <row r="9699" s="259" customFormat="1"/>
    <row r="9700" s="259" customFormat="1"/>
    <row r="9701" s="259" customFormat="1"/>
    <row r="9702" s="259" customFormat="1"/>
    <row r="9703" s="259" customFormat="1"/>
    <row r="9704" s="259" customFormat="1"/>
    <row r="9705" s="259" customFormat="1"/>
    <row r="9706" s="259" customFormat="1"/>
    <row r="9707" s="259" customFormat="1"/>
    <row r="9708" s="259" customFormat="1"/>
    <row r="9709" s="259" customFormat="1"/>
    <row r="9710" s="259" customFormat="1"/>
    <row r="9711" s="259" customFormat="1"/>
    <row r="9712" s="259" customFormat="1"/>
    <row r="9713" s="259" customFormat="1"/>
    <row r="9714" s="259" customFormat="1"/>
    <row r="9715" s="259" customFormat="1"/>
    <row r="9716" s="259" customFormat="1"/>
    <row r="9717" s="259" customFormat="1"/>
    <row r="9718" s="259" customFormat="1"/>
    <row r="9719" s="259" customFormat="1"/>
    <row r="9720" s="259" customFormat="1"/>
    <row r="9721" s="259" customFormat="1"/>
    <row r="9722" s="259" customFormat="1"/>
    <row r="9723" s="259" customFormat="1"/>
    <row r="9724" s="259" customFormat="1"/>
    <row r="9725" s="259" customFormat="1"/>
    <row r="9726" s="259" customFormat="1"/>
    <row r="9727" s="259" customFormat="1"/>
    <row r="9728" s="259" customFormat="1"/>
    <row r="9729" s="259" customFormat="1"/>
    <row r="9730" s="259" customFormat="1"/>
    <row r="9731" s="259" customFormat="1"/>
    <row r="9732" s="259" customFormat="1"/>
    <row r="9733" s="259" customFormat="1"/>
    <row r="9734" s="259" customFormat="1"/>
    <row r="9735" s="259" customFormat="1"/>
    <row r="9736" s="259" customFormat="1"/>
    <row r="9737" s="259" customFormat="1"/>
    <row r="9738" s="259" customFormat="1"/>
    <row r="9739" s="259" customFormat="1"/>
    <row r="9740" s="259" customFormat="1"/>
    <row r="9741" s="259" customFormat="1"/>
    <row r="9742" s="259" customFormat="1"/>
    <row r="9743" s="259" customFormat="1"/>
    <row r="9744" s="259" customFormat="1"/>
    <row r="9745" s="259" customFormat="1"/>
    <row r="9746" s="259" customFormat="1"/>
    <row r="9747" s="259" customFormat="1"/>
    <row r="9748" s="259" customFormat="1"/>
    <row r="9749" s="259" customFormat="1"/>
    <row r="9750" s="259" customFormat="1"/>
    <row r="9751" s="259" customFormat="1"/>
    <row r="9752" s="259" customFormat="1"/>
    <row r="9753" s="259" customFormat="1"/>
    <row r="9754" s="259" customFormat="1"/>
    <row r="9755" s="259" customFormat="1"/>
    <row r="9756" s="259" customFormat="1"/>
    <row r="9757" s="259" customFormat="1"/>
    <row r="9758" s="259" customFormat="1"/>
    <row r="9759" s="259" customFormat="1"/>
    <row r="9760" s="259" customFormat="1"/>
    <row r="9761" s="259" customFormat="1"/>
    <row r="9762" s="259" customFormat="1"/>
    <row r="9763" s="259" customFormat="1"/>
    <row r="9764" s="259" customFormat="1"/>
    <row r="9765" s="259" customFormat="1"/>
    <row r="9766" s="259" customFormat="1"/>
    <row r="9767" s="259" customFormat="1"/>
    <row r="9768" s="259" customFormat="1"/>
    <row r="9769" s="259" customFormat="1"/>
    <row r="9770" s="259" customFormat="1"/>
    <row r="9771" s="259" customFormat="1"/>
    <row r="9772" s="259" customFormat="1"/>
    <row r="9773" s="259" customFormat="1"/>
    <row r="9774" s="259" customFormat="1"/>
    <row r="9775" s="259" customFormat="1"/>
    <row r="9776" s="259" customFormat="1"/>
    <row r="9777" s="259" customFormat="1"/>
    <row r="9778" s="259" customFormat="1"/>
    <row r="9779" s="259" customFormat="1"/>
    <row r="9780" s="259" customFormat="1"/>
    <row r="9781" s="259" customFormat="1"/>
    <row r="9782" s="259" customFormat="1"/>
    <row r="9783" s="259" customFormat="1"/>
    <row r="9784" s="259" customFormat="1"/>
    <row r="9785" s="259" customFormat="1"/>
    <row r="9786" s="259" customFormat="1"/>
    <row r="9787" s="259" customFormat="1"/>
    <row r="9788" s="259" customFormat="1"/>
    <row r="9789" s="259" customFormat="1"/>
    <row r="9790" s="259" customFormat="1"/>
    <row r="9791" s="259" customFormat="1"/>
    <row r="9792" s="259" customFormat="1"/>
    <row r="9793" s="259" customFormat="1"/>
    <row r="9794" s="259" customFormat="1"/>
    <row r="9795" s="259" customFormat="1"/>
    <row r="9796" s="259" customFormat="1"/>
    <row r="9797" s="259" customFormat="1"/>
    <row r="9798" s="259" customFormat="1"/>
    <row r="9799" s="259" customFormat="1"/>
    <row r="9800" s="259" customFormat="1"/>
    <row r="9801" s="259" customFormat="1"/>
    <row r="9802" s="259" customFormat="1"/>
    <row r="9803" s="259" customFormat="1"/>
    <row r="9804" s="259" customFormat="1"/>
    <row r="9805" s="259" customFormat="1"/>
    <row r="9806" s="259" customFormat="1"/>
    <row r="9807" s="259" customFormat="1"/>
    <row r="9808" s="259" customFormat="1"/>
    <row r="9809" s="259" customFormat="1"/>
    <row r="9810" s="259" customFormat="1"/>
    <row r="9811" s="259" customFormat="1"/>
    <row r="9812" s="259" customFormat="1"/>
    <row r="9813" s="259" customFormat="1"/>
    <row r="9814" s="259" customFormat="1"/>
    <row r="9815" s="259" customFormat="1"/>
    <row r="9816" s="259" customFormat="1"/>
    <row r="9817" s="259" customFormat="1"/>
    <row r="9818" s="259" customFormat="1"/>
    <row r="9819" s="259" customFormat="1"/>
    <row r="9820" s="259" customFormat="1"/>
    <row r="9821" s="259" customFormat="1"/>
    <row r="9822" s="259" customFormat="1"/>
    <row r="9823" s="259" customFormat="1"/>
    <row r="9824" s="259" customFormat="1"/>
    <row r="9825" s="259" customFormat="1"/>
    <row r="9826" s="259" customFormat="1"/>
    <row r="9827" s="259" customFormat="1"/>
    <row r="9828" s="259" customFormat="1"/>
    <row r="9829" s="259" customFormat="1"/>
    <row r="9830" s="259" customFormat="1"/>
    <row r="9831" s="259" customFormat="1"/>
    <row r="9832" s="259" customFormat="1"/>
    <row r="9833" s="259" customFormat="1"/>
    <row r="9834" s="259" customFormat="1"/>
    <row r="9835" s="259" customFormat="1"/>
    <row r="9836" s="259" customFormat="1"/>
    <row r="9837" s="259" customFormat="1"/>
    <row r="9838" s="259" customFormat="1"/>
    <row r="9839" s="259" customFormat="1"/>
    <row r="9840" s="259" customFormat="1"/>
    <row r="9841" s="259" customFormat="1"/>
    <row r="9842" s="259" customFormat="1"/>
    <row r="9843" s="259" customFormat="1"/>
    <row r="9844" s="259" customFormat="1"/>
    <row r="9845" s="259" customFormat="1"/>
    <row r="9846" s="259" customFormat="1"/>
    <row r="9847" s="259" customFormat="1"/>
    <row r="9848" s="259" customFormat="1"/>
    <row r="9849" s="259" customFormat="1"/>
    <row r="9850" s="259" customFormat="1"/>
    <row r="9851" s="259" customFormat="1"/>
    <row r="9852" s="259" customFormat="1"/>
    <row r="9853" s="259" customFormat="1"/>
    <row r="9854" s="259" customFormat="1"/>
    <row r="9855" s="259" customFormat="1"/>
    <row r="9856" s="259" customFormat="1"/>
    <row r="9857" s="259" customFormat="1"/>
    <row r="9858" s="259" customFormat="1"/>
    <row r="9859" s="259" customFormat="1"/>
    <row r="9860" s="259" customFormat="1"/>
    <row r="9861" s="259" customFormat="1"/>
    <row r="9862" s="259" customFormat="1"/>
    <row r="9863" s="259" customFormat="1"/>
    <row r="9864" s="259" customFormat="1"/>
    <row r="9865" s="259" customFormat="1"/>
    <row r="9866" s="259" customFormat="1"/>
    <row r="9867" s="259" customFormat="1"/>
    <row r="9868" s="259" customFormat="1"/>
    <row r="9869" s="259" customFormat="1"/>
    <row r="9870" s="259" customFormat="1"/>
    <row r="9871" s="259" customFormat="1"/>
    <row r="9872" s="259" customFormat="1"/>
    <row r="9873" s="259" customFormat="1"/>
    <row r="9874" s="259" customFormat="1"/>
    <row r="9875" s="259" customFormat="1"/>
    <row r="9876" s="259" customFormat="1"/>
    <row r="9877" s="259" customFormat="1"/>
    <row r="9878" s="259" customFormat="1"/>
    <row r="9879" s="259" customFormat="1"/>
    <row r="9880" s="259" customFormat="1"/>
    <row r="9881" s="259" customFormat="1"/>
    <row r="9882" s="259" customFormat="1"/>
    <row r="9883" s="259" customFormat="1"/>
    <row r="9884" s="259" customFormat="1"/>
    <row r="9885" s="259" customFormat="1"/>
    <row r="9886" s="259" customFormat="1"/>
    <row r="9887" s="259" customFormat="1"/>
    <row r="9888" s="259" customFormat="1"/>
    <row r="9889" s="259" customFormat="1"/>
    <row r="9890" s="259" customFormat="1"/>
    <row r="9891" s="259" customFormat="1"/>
    <row r="9892" s="259" customFormat="1"/>
    <row r="9893" s="259" customFormat="1"/>
    <row r="9894" s="259" customFormat="1"/>
    <row r="9895" s="259" customFormat="1"/>
    <row r="9896" s="259" customFormat="1"/>
    <row r="9897" s="259" customFormat="1"/>
    <row r="9898" s="259" customFormat="1"/>
    <row r="9899" s="259" customFormat="1"/>
    <row r="9900" s="259" customFormat="1"/>
    <row r="9901" s="259" customFormat="1"/>
    <row r="9902" s="259" customFormat="1"/>
    <row r="9903" s="259" customFormat="1"/>
    <row r="9904" s="259" customFormat="1"/>
    <row r="9905" s="259" customFormat="1"/>
    <row r="9906" s="259" customFormat="1"/>
    <row r="9907" s="259" customFormat="1"/>
    <row r="9908" s="259" customFormat="1"/>
    <row r="9909" s="259" customFormat="1"/>
    <row r="9910" s="259" customFormat="1"/>
    <row r="9911" s="259" customFormat="1"/>
    <row r="9912" s="259" customFormat="1"/>
    <row r="9913" s="259" customFormat="1"/>
    <row r="9914" s="259" customFormat="1"/>
    <row r="9915" s="259" customFormat="1"/>
    <row r="9916" s="259" customFormat="1"/>
    <row r="9917" s="259" customFormat="1"/>
    <row r="9918" s="259" customFormat="1"/>
    <row r="9919" s="259" customFormat="1"/>
    <row r="9920" s="259" customFormat="1"/>
    <row r="9921" s="259" customFormat="1"/>
    <row r="9922" s="259" customFormat="1"/>
    <row r="9923" s="259" customFormat="1"/>
    <row r="9924" s="259" customFormat="1"/>
    <row r="9925" s="259" customFormat="1"/>
    <row r="9926" s="259" customFormat="1"/>
    <row r="9927" s="259" customFormat="1"/>
    <row r="9928" s="259" customFormat="1"/>
    <row r="9929" s="259" customFormat="1"/>
    <row r="9930" s="259" customFormat="1"/>
    <row r="9931" s="259" customFormat="1"/>
    <row r="9932" s="259" customFormat="1"/>
    <row r="9933" s="259" customFormat="1"/>
    <row r="9934" s="259" customFormat="1"/>
    <row r="9935" s="259" customFormat="1"/>
    <row r="9936" s="259" customFormat="1"/>
    <row r="9937" s="259" customFormat="1"/>
    <row r="9938" s="259" customFormat="1"/>
    <row r="9939" s="259" customFormat="1"/>
    <row r="9940" s="259" customFormat="1"/>
    <row r="9941" s="259" customFormat="1"/>
    <row r="9942" s="259" customFormat="1"/>
    <row r="9943" s="259" customFormat="1"/>
    <row r="9944" s="259" customFormat="1"/>
    <row r="9945" s="259" customFormat="1"/>
    <row r="9946" s="259" customFormat="1"/>
    <row r="9947" s="259" customFormat="1"/>
    <row r="9948" s="259" customFormat="1"/>
    <row r="9949" s="259" customFormat="1"/>
    <row r="9950" s="259" customFormat="1"/>
    <row r="9951" s="259" customFormat="1"/>
    <row r="9952" s="259" customFormat="1"/>
    <row r="9953" s="259" customFormat="1"/>
    <row r="9954" s="259" customFormat="1"/>
    <row r="9955" s="259" customFormat="1"/>
    <row r="9956" s="259" customFormat="1"/>
    <row r="9957" s="259" customFormat="1"/>
    <row r="9958" s="259" customFormat="1"/>
    <row r="9959" s="259" customFormat="1"/>
    <row r="9960" s="259" customFormat="1"/>
    <row r="9961" s="259" customFormat="1"/>
    <row r="9962" s="259" customFormat="1"/>
    <row r="9963" s="259" customFormat="1"/>
    <row r="9964" s="259" customFormat="1"/>
    <row r="9965" s="259" customFormat="1"/>
    <row r="9966" s="259" customFormat="1"/>
    <row r="9967" s="259" customFormat="1"/>
    <row r="9968" s="259" customFormat="1"/>
    <row r="9969" s="259" customFormat="1"/>
    <row r="9970" s="259" customFormat="1"/>
    <row r="9971" s="259" customFormat="1"/>
    <row r="9972" s="259" customFormat="1"/>
    <row r="9973" s="259" customFormat="1"/>
    <row r="9974" s="259" customFormat="1"/>
    <row r="9975" s="259" customFormat="1"/>
    <row r="9976" s="259" customFormat="1"/>
    <row r="9977" s="259" customFormat="1"/>
    <row r="9978" s="259" customFormat="1"/>
    <row r="9979" s="259" customFormat="1"/>
    <row r="9980" s="259" customFormat="1"/>
    <row r="9981" s="259" customFormat="1"/>
    <row r="9982" s="259" customFormat="1"/>
    <row r="9983" s="259" customFormat="1"/>
    <row r="9984" s="259" customFormat="1"/>
    <row r="9985" s="259" customFormat="1"/>
    <row r="9986" s="259" customFormat="1"/>
    <row r="9987" s="259" customFormat="1"/>
    <row r="9988" s="259" customFormat="1"/>
    <row r="9989" s="259" customFormat="1"/>
    <row r="9990" s="259" customFormat="1"/>
    <row r="9991" s="259" customFormat="1"/>
    <row r="9992" s="259" customFormat="1"/>
    <row r="9993" s="259" customFormat="1"/>
    <row r="9994" s="259" customFormat="1"/>
    <row r="9995" s="259" customFormat="1"/>
    <row r="9996" s="259" customFormat="1"/>
    <row r="9997" s="259" customFormat="1"/>
    <row r="9998" s="259" customFormat="1"/>
    <row r="9999" s="259" customFormat="1"/>
    <row r="10000" s="259" customFormat="1"/>
    <row r="10001" s="259" customFormat="1"/>
    <row r="10002" s="259" customFormat="1"/>
    <row r="10003" s="259" customFormat="1"/>
    <row r="10004" s="259" customFormat="1"/>
    <row r="10005" s="259" customFormat="1"/>
    <row r="10006" s="259" customFormat="1"/>
    <row r="10007" s="259" customFormat="1"/>
    <row r="10008" s="259" customFormat="1"/>
    <row r="10009" s="259" customFormat="1"/>
    <row r="10010" s="259" customFormat="1"/>
    <row r="10011" s="259" customFormat="1"/>
    <row r="10012" s="259" customFormat="1"/>
    <row r="10013" s="259" customFormat="1"/>
    <row r="10014" s="259" customFormat="1"/>
    <row r="10015" s="259" customFormat="1"/>
    <row r="10016" s="259" customFormat="1"/>
    <row r="10017" s="259" customFormat="1"/>
    <row r="10018" s="259" customFormat="1"/>
    <row r="10019" s="259" customFormat="1"/>
    <row r="10020" s="259" customFormat="1"/>
    <row r="10021" s="259" customFormat="1"/>
    <row r="10022" s="259" customFormat="1"/>
    <row r="10023" s="259" customFormat="1"/>
    <row r="10024" s="259" customFormat="1"/>
    <row r="10025" s="259" customFormat="1"/>
    <row r="10026" s="259" customFormat="1"/>
    <row r="10027" s="259" customFormat="1"/>
    <row r="10028" s="259" customFormat="1"/>
    <row r="10029" s="259" customFormat="1"/>
    <row r="10030" s="259" customFormat="1"/>
    <row r="10031" s="259" customFormat="1"/>
    <row r="10032" s="259" customFormat="1"/>
    <row r="10033" s="259" customFormat="1"/>
    <row r="10034" s="259" customFormat="1"/>
    <row r="10035" s="259" customFormat="1"/>
    <row r="10036" s="259" customFormat="1"/>
    <row r="10037" s="259" customFormat="1"/>
    <row r="10038" s="259" customFormat="1"/>
    <row r="10039" s="259" customFormat="1"/>
    <row r="10040" s="259" customFormat="1"/>
    <row r="10041" s="259" customFormat="1"/>
    <row r="10042" s="259" customFormat="1"/>
  </sheetData>
  <sheetProtection algorithmName="SHA-512" hashValue="u9WtC5CYdVWe3kvMSLQlfoB/hF+s20LJ/q9bWLCh6/2HGV/zdfi4EOt74H2AyaYqp4ed2p4w3ImxZ413lmuuhg==" saltValue="TUqz+HZh/3uAYXsAXNszpA==" spinCount="100000" sheet="1" scenarios="1" insertHyperlinks="0"/>
  <protectedRanges>
    <protectedRange sqref="C18 D23:D24 C28 D32 B45:O99 C14:C15 D7:E9 C34 D38:D3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B11">
    <cfRule type="cellIs" dxfId="157" priority="25" operator="equal">
      <formula>"FAIL"</formula>
    </cfRule>
    <cfRule type="cellIs" dxfId="156" priority="26" operator="equal">
      <formula>"PASS"</formula>
    </cfRule>
  </conditionalFormatting>
  <conditionalFormatting sqref="C11">
    <cfRule type="cellIs" dxfId="155" priority="22" operator="equal">
      <formula>"Insufficient air gap, check design"</formula>
    </cfRule>
    <cfRule type="cellIs" dxfId="154" priority="27" operator="equal">
      <formula>"Conduction &amp; Radiation insulation do not match, check input"</formula>
    </cfRule>
  </conditionalFormatting>
  <conditionalFormatting sqref="C15">
    <cfRule type="cellIs" dxfId="153" priority="10" stopIfTrue="1" operator="equal">
      <formula>"Yes"</formula>
    </cfRule>
    <cfRule type="cellIs" dxfId="152" priority="11" stopIfTrue="1" operator="equal">
      <formula>"n.a."</formula>
    </cfRule>
    <cfRule type="cellIs" dxfId="151" priority="12" stopIfTrue="1" operator="equal">
      <formula>"No"</formula>
    </cfRule>
    <cfRule type="cellIs" dxfId="150" priority="13" operator="equal">
      <formula>" "</formula>
    </cfRule>
  </conditionalFormatting>
  <conditionalFormatting sqref="C23">
    <cfRule type="containsBlanks" dxfId="148" priority="21">
      <formula>LEN(TRIM(C23))=0</formula>
    </cfRule>
  </conditionalFormatting>
  <conditionalFormatting sqref="C38">
    <cfRule type="containsBlanks" dxfId="145" priority="15">
      <formula>LEN(TRIM(C38))=0</formula>
    </cfRule>
  </conditionalFormatting>
  <conditionalFormatting sqref="D23 D38">
    <cfRule type="expression" dxfId="144" priority="20">
      <formula>$C$14&lt;&gt;"UL94 V-0"</formula>
    </cfRule>
  </conditionalFormatting>
  <conditionalFormatting sqref="D3:G4 F5:G6 F8:G11 D12:G12 E13:G13 D14:G16">
    <cfRule type="expression" dxfId="140" priority="46" stopIfTrue="1">
      <formula>D3="PASS"</formula>
    </cfRule>
    <cfRule type="expression" dxfId="139" priority="47" stopIfTrue="1">
      <formula>D3="FAIL"</formula>
    </cfRule>
    <cfRule type="expression" dxfId="138" priority="48" stopIfTrue="1">
      <formula>D3="N/A"</formula>
    </cfRule>
  </conditionalFormatting>
  <conditionalFormatting sqref="E6">
    <cfRule type="expression" dxfId="137" priority="40" stopIfTrue="1">
      <formula>E6="PASS"</formula>
    </cfRule>
    <cfRule type="expression" dxfId="136" priority="41" stopIfTrue="1">
      <formula>E6="FAIL"</formula>
    </cfRule>
  </conditionalFormatting>
  <conditionalFormatting sqref="E7">
    <cfRule type="cellIs" dxfId="135" priority="36" stopIfTrue="1" operator="equal">
      <formula>"Yes"</formula>
    </cfRule>
    <cfRule type="cellIs" dxfId="134" priority="37" stopIfTrue="1" operator="equal">
      <formula>"n.a."</formula>
    </cfRule>
    <cfRule type="cellIs" dxfId="133" priority="38" stopIfTrue="1" operator="equal">
      <formula>"No"</formula>
    </cfRule>
    <cfRule type="cellIs" dxfId="132" priority="39" operator="equal">
      <formula>" "</formula>
    </cfRule>
  </conditionalFormatting>
  <conditionalFormatting sqref="E8">
    <cfRule type="expression" dxfId="131" priority="32" stopIfTrue="1">
      <formula>IF(AND($D$8&gt;=25,$E$8="Yes"),TRUE,FALSE)</formula>
    </cfRule>
    <cfRule type="expression" dxfId="130" priority="33" stopIfTrue="1">
      <formula>IF(AND($D$8&lt;25,$E$8="Yes"),TRUE,FALSE)</formula>
    </cfRule>
    <cfRule type="cellIs" dxfId="129" priority="34" stopIfTrue="1" operator="equal">
      <formula>"No"</formula>
    </cfRule>
    <cfRule type="cellIs" dxfId="128" priority="35" operator="equal">
      <formula>" "</formula>
    </cfRule>
  </conditionalFormatting>
  <conditionalFormatting sqref="E9">
    <cfRule type="cellIs" dxfId="127" priority="28" stopIfTrue="1" operator="equal">
      <formula>"Yes"</formula>
    </cfRule>
    <cfRule type="cellIs" dxfId="126" priority="29" stopIfTrue="1" operator="equal">
      <formula>"n.a."</formula>
    </cfRule>
    <cfRule type="cellIs" dxfId="125" priority="30" stopIfTrue="1" operator="equal">
      <formula>"No"</formula>
    </cfRule>
    <cfRule type="cellIs" dxfId="124" priority="31" operator="equal">
      <formula>" "</formula>
    </cfRule>
  </conditionalFormatting>
  <conditionalFormatting sqref="E23 E38">
    <cfRule type="containsBlanks" dxfId="123" priority="14">
      <formula>LEN(TRIM(E23))=0</formula>
    </cfRule>
  </conditionalFormatting>
  <conditionalFormatting sqref="E23:E24">
    <cfRule type="expression" dxfId="122" priority="42" stopIfTrue="1">
      <formula>E23="PASS"</formula>
    </cfRule>
    <cfRule type="expression" dxfId="121" priority="43" stopIfTrue="1">
      <formula>E23="FAIL"</formula>
    </cfRule>
  </conditionalFormatting>
  <conditionalFormatting sqref="E32">
    <cfRule type="cellIs" dxfId="118" priority="18" operator="equal">
      <formula>"PASS"</formula>
    </cfRule>
    <cfRule type="cellIs" dxfId="117" priority="19" operator="equal">
      <formula>"FAIL"</formula>
    </cfRule>
  </conditionalFormatting>
  <conditionalFormatting sqref="E38:E39">
    <cfRule type="cellIs" dxfId="116" priority="16" operator="equal">
      <formula>"PASS"</formula>
    </cfRule>
    <cfRule type="cellIs" dxfId="115" priority="17" operator="equal">
      <formula>"FAIL"</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9" id="{C1BD6315-3C80-4363-933B-8BE16FB6A34E}">
            <xm:f>'Cover Sheet'!$D$17="Electric Vehicle"</xm:f>
            <x14:dxf>
              <fill>
                <patternFill>
                  <bgColor theme="0" tint="-0.14996795556505021"/>
                </patternFill>
              </fill>
            </x14:dxf>
          </x14:cfRule>
          <xm:sqref>C18:C22</xm:sqref>
        </x14:conditionalFormatting>
        <x14:conditionalFormatting xmlns:xm="http://schemas.microsoft.com/office/excel/2006/main">
          <x14:cfRule type="expression" priority="6" id="{181D06A9-01C6-4376-8764-931DC397C1C7}">
            <xm:f>'Cover Sheet'!$D$17="Internal Combustion"</xm:f>
            <x14:dxf>
              <fill>
                <patternFill>
                  <bgColor theme="0" tint="-0.14996795556505021"/>
                </patternFill>
              </fill>
            </x14:dxf>
          </x14:cfRule>
          <xm:sqref>C28:C31</xm:sqref>
        </x14:conditionalFormatting>
        <x14:conditionalFormatting xmlns:xm="http://schemas.microsoft.com/office/excel/2006/main">
          <x14:cfRule type="expression" priority="4" id="{49DDDB8A-E878-477D-928D-C15D4696CAD5}">
            <xm:f>'Cover Sheet'!$D$17="Internal Combustion"</xm:f>
            <x14:dxf>
              <fill>
                <patternFill>
                  <bgColor theme="0" tint="-0.14996795556505021"/>
                </patternFill>
              </fill>
            </x14:dxf>
          </x14:cfRule>
          <xm:sqref>C34:C37</xm:sqref>
        </x14:conditionalFormatting>
        <x14:conditionalFormatting xmlns:xm="http://schemas.microsoft.com/office/excel/2006/main">
          <x14:cfRule type="expression" priority="8" id="{BD7B31B4-163A-4995-8568-F74B15BA192F}">
            <xm:f>'Cover Sheet'!$D$17="Electric Vehicle"</xm:f>
            <x14:dxf>
              <fill>
                <patternFill>
                  <bgColor theme="0" tint="-0.14996795556505021"/>
                </patternFill>
              </fill>
            </x14:dxf>
          </x14:cfRule>
          <xm:sqref>D24</xm:sqref>
        </x14:conditionalFormatting>
        <x14:conditionalFormatting xmlns:xm="http://schemas.microsoft.com/office/excel/2006/main">
          <x14:cfRule type="expression" priority="5" id="{8157A92A-8444-4C94-8C8F-DE596971AE69}">
            <xm:f>'Cover Sheet'!$D$17="Internal Combustion"</xm:f>
            <x14:dxf>
              <fill>
                <patternFill>
                  <bgColor theme="0" tint="-0.14996795556505021"/>
                </patternFill>
              </fill>
            </x14:dxf>
          </x14:cfRule>
          <xm:sqref>D32</xm:sqref>
        </x14:conditionalFormatting>
        <x14:conditionalFormatting xmlns:xm="http://schemas.microsoft.com/office/excel/2006/main">
          <x14:cfRule type="expression" priority="3" id="{7B51615F-9BCC-49AE-8E4E-8C6EFE2F5ECD}">
            <xm:f>'Cover Sheet'!$D$17="Internal Combustion"</xm:f>
            <x14:dxf>
              <fill>
                <patternFill>
                  <bgColor theme="0" tint="-0.14996795556505021"/>
                </patternFill>
              </fill>
            </x14:dxf>
          </x14:cfRule>
          <xm:sqref>D39</xm:sqref>
        </x14:conditionalFormatting>
        <x14:conditionalFormatting xmlns:xm="http://schemas.microsoft.com/office/excel/2006/main">
          <x14:cfRule type="expression" priority="2" id="{528354F2-4EEF-466B-AD4B-DB05E5FB9C99}">
            <xm:f>'Cover Sheet'!$D$17="Electric Vehicle"</xm:f>
            <x14:dxf>
              <font>
                <color theme="0" tint="-0.14996795556505021"/>
              </font>
              <fill>
                <patternFill>
                  <bgColor theme="0" tint="-0.14996795556505021"/>
                </patternFill>
              </fill>
            </x14:dxf>
          </x14:cfRule>
          <xm:sqref>E24</xm:sqref>
        </x14:conditionalFormatting>
        <x14:conditionalFormatting xmlns:xm="http://schemas.microsoft.com/office/excel/2006/main">
          <x14:cfRule type="expression" priority="1" id="{12AAF9DA-BAAE-4E67-B582-28C2AC443B6B}">
            <xm:f>'Cover Sheet'!$D$17="Internal Combustion"</xm:f>
            <x14:dxf>
              <font>
                <color theme="0" tint="-0.14996795556505021"/>
              </font>
              <fill>
                <patternFill>
                  <bgColor theme="0" tint="-0.14996795556505021"/>
                </patternFill>
              </fill>
            </x14:dxf>
          </x14:cfRule>
          <xm:sqref>E32 E39</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6"/>
  <sheetViews>
    <sheetView showGridLines="0" view="pageBreakPreview" zoomScaleNormal="100" zoomScaleSheetLayoutView="100" workbookViewId="0">
      <selection sqref="A1:R1"/>
    </sheetView>
  </sheetViews>
  <sheetFormatPr baseColWidth="10" defaultColWidth="11.46484375" defaultRowHeight="12.75"/>
  <cols>
    <col min="1" max="3" width="5" customWidth="1"/>
    <col min="4" max="4" width="9.53125" customWidth="1"/>
    <col min="5" max="37" width="5" customWidth="1"/>
  </cols>
  <sheetData>
    <row r="1" spans="1:45" ht="14.25" customHeight="1">
      <c r="A1" s="1194" t="s">
        <v>574</v>
      </c>
      <c r="B1" s="1195"/>
      <c r="C1" s="1195"/>
      <c r="D1" s="1195"/>
      <c r="E1" s="1195"/>
      <c r="F1" s="1195"/>
      <c r="G1" s="1195"/>
      <c r="H1" s="1195"/>
      <c r="I1" s="1195"/>
      <c r="J1" s="1195"/>
      <c r="K1" s="1195"/>
      <c r="L1" s="1195"/>
      <c r="M1" s="1195"/>
      <c r="N1" s="1195"/>
      <c r="O1" s="1195"/>
      <c r="P1" s="1195"/>
      <c r="Q1" s="1195"/>
      <c r="R1" s="1196"/>
      <c r="S1" s="1386"/>
      <c r="T1" s="1386"/>
      <c r="U1" s="1386"/>
      <c r="V1" s="1386"/>
      <c r="W1" s="1386"/>
      <c r="X1" s="1386"/>
      <c r="Y1" s="1386"/>
      <c r="Z1" s="1386"/>
      <c r="AA1" s="1386"/>
      <c r="AB1" s="1386"/>
      <c r="AC1" s="1386"/>
      <c r="AD1" s="1386"/>
      <c r="AE1" s="1386"/>
      <c r="AF1" s="1386"/>
      <c r="AG1" s="1386"/>
      <c r="AH1" s="1386"/>
      <c r="AI1" s="1386"/>
      <c r="AJ1" s="1386"/>
      <c r="AK1" s="1387"/>
      <c r="AL1" s="894"/>
      <c r="AM1" s="894"/>
      <c r="AN1" s="894"/>
      <c r="AO1" s="894"/>
      <c r="AP1" s="894"/>
      <c r="AQ1" s="894"/>
      <c r="AR1" s="894"/>
      <c r="AS1" s="981"/>
    </row>
    <row r="2" spans="1:45" ht="12.75" customHeight="1">
      <c r="A2" s="4"/>
      <c r="R2" s="15"/>
      <c r="S2" s="1388"/>
      <c r="T2" s="1388"/>
      <c r="U2" s="1388"/>
      <c r="V2" s="1388"/>
      <c r="W2" s="1388"/>
      <c r="X2" s="1388"/>
      <c r="Y2" s="1388"/>
      <c r="Z2" s="1388"/>
      <c r="AA2" s="1388"/>
      <c r="AB2" s="1388"/>
      <c r="AC2" s="1388"/>
      <c r="AD2" s="1388"/>
      <c r="AE2" s="1388"/>
      <c r="AF2" s="1388"/>
      <c r="AG2" s="1388"/>
      <c r="AH2" s="1388"/>
      <c r="AI2" s="1388"/>
      <c r="AJ2" s="1388"/>
      <c r="AK2" s="1389"/>
      <c r="AL2" s="318"/>
      <c r="AM2" s="318"/>
      <c r="AN2" s="318"/>
      <c r="AO2" s="318"/>
      <c r="AP2" s="318"/>
      <c r="AQ2" s="318"/>
      <c r="AR2" s="318"/>
      <c r="AS2" s="643"/>
    </row>
    <row r="3" spans="1:45">
      <c r="A3" s="4" t="s">
        <v>39</v>
      </c>
      <c r="D3" s="1157" t="str">
        <f>IF('Cover Sheet'!D14:J14&gt;0,'Cover Sheet'!D14:J14,"")</f>
        <v>Ecole Centrale Lyon</v>
      </c>
      <c r="E3" s="1157"/>
      <c r="F3" s="1157"/>
      <c r="G3" s="1157"/>
      <c r="H3" s="1157"/>
      <c r="I3" s="1157"/>
      <c r="J3" s="1157"/>
      <c r="K3" t="s">
        <v>40</v>
      </c>
      <c r="O3" s="1157" t="str">
        <f>IF('Cover Sheet'!O14:S14&gt;0,'Cover Sheet'!O14:S14,"")</f>
        <v>81 FSCH</v>
      </c>
      <c r="P3" s="1157"/>
      <c r="Q3" s="1157"/>
      <c r="R3" s="1402"/>
      <c r="S3" s="1388"/>
      <c r="T3" s="1388"/>
      <c r="U3" s="1388"/>
      <c r="V3" s="1388"/>
      <c r="W3" s="1388"/>
      <c r="X3" s="1388"/>
      <c r="Y3" s="1388"/>
      <c r="Z3" s="1388"/>
      <c r="AA3" s="1388"/>
      <c r="AB3" s="1388"/>
      <c r="AC3" s="1388"/>
      <c r="AD3" s="1388"/>
      <c r="AE3" s="1388"/>
      <c r="AF3" s="1388"/>
      <c r="AG3" s="1388"/>
      <c r="AH3" s="1388"/>
      <c r="AI3" s="1388"/>
      <c r="AJ3" s="1388"/>
      <c r="AK3" s="1389"/>
      <c r="AL3" s="318"/>
      <c r="AM3" s="318"/>
      <c r="AN3" s="318"/>
      <c r="AO3" s="318"/>
      <c r="AP3" s="318"/>
      <c r="AQ3" s="318"/>
      <c r="AR3" s="318"/>
      <c r="AS3" s="643"/>
    </row>
    <row r="4" spans="1:45">
      <c r="A4" s="4"/>
      <c r="R4" s="15"/>
      <c r="S4" s="26"/>
      <c r="T4" s="374"/>
      <c r="U4" s="26"/>
      <c r="V4" s="26"/>
      <c r="W4" s="26"/>
      <c r="X4" s="26"/>
      <c r="Y4" s="26"/>
      <c r="Z4" s="26"/>
      <c r="AA4" s="26"/>
      <c r="AB4" s="26"/>
      <c r="AC4" s="26"/>
      <c r="AD4" s="26"/>
      <c r="AE4" s="26"/>
      <c r="AF4" s="26"/>
      <c r="AG4" s="26"/>
      <c r="AH4" s="26"/>
      <c r="AI4" s="26"/>
      <c r="AJ4" s="26"/>
      <c r="AK4" s="638"/>
      <c r="AL4" s="318"/>
      <c r="AM4" s="318"/>
      <c r="AN4" s="318"/>
      <c r="AO4" s="318"/>
      <c r="AP4" s="318"/>
      <c r="AQ4" s="318"/>
      <c r="AR4" s="318"/>
      <c r="AS4" s="643"/>
    </row>
    <row r="5" spans="1:45" ht="12.75" customHeight="1">
      <c r="A5" s="1114" t="s">
        <v>575</v>
      </c>
      <c r="B5" s="1126"/>
      <c r="C5" s="1126"/>
      <c r="D5" s="1126"/>
      <c r="E5" s="1126"/>
      <c r="F5" s="1126"/>
      <c r="G5" s="1126"/>
      <c r="H5" s="1126"/>
      <c r="I5" s="1126"/>
      <c r="J5" s="1126"/>
      <c r="K5" s="1126"/>
      <c r="L5" s="1126"/>
      <c r="M5" s="1126"/>
      <c r="N5" s="1126"/>
      <c r="O5" s="1126"/>
      <c r="P5" s="1126"/>
      <c r="Q5" s="1126"/>
      <c r="R5" s="1115"/>
      <c r="S5" s="26"/>
      <c r="T5" s="374"/>
      <c r="U5" s="26"/>
      <c r="V5" s="26"/>
      <c r="W5" s="26"/>
      <c r="X5" s="26"/>
      <c r="Y5" s="26"/>
      <c r="Z5" s="26"/>
      <c r="AA5" s="26"/>
      <c r="AB5" s="26"/>
      <c r="AC5" s="26"/>
      <c r="AD5" s="26"/>
      <c r="AE5" s="26"/>
      <c r="AF5" s="26"/>
      <c r="AG5" s="26"/>
      <c r="AH5" s="26"/>
      <c r="AI5" s="26"/>
      <c r="AJ5" s="26"/>
      <c r="AK5" s="638"/>
      <c r="AL5" s="318"/>
      <c r="AM5" s="318"/>
      <c r="AN5" s="318"/>
      <c r="AO5" s="318"/>
      <c r="AP5" s="318"/>
      <c r="AQ5" s="318"/>
      <c r="AR5" s="318"/>
      <c r="AS5" s="643"/>
    </row>
    <row r="6" spans="1:45">
      <c r="A6" s="1118"/>
      <c r="B6" s="1130"/>
      <c r="C6" s="1130"/>
      <c r="D6" s="1130"/>
      <c r="E6" s="1130"/>
      <c r="F6" s="1130"/>
      <c r="G6" s="1130"/>
      <c r="H6" s="1130"/>
      <c r="I6" s="1130"/>
      <c r="J6" s="1130"/>
      <c r="K6" s="1130"/>
      <c r="L6" s="1130"/>
      <c r="M6" s="1130"/>
      <c r="N6" s="1130"/>
      <c r="O6" s="1130"/>
      <c r="P6" s="1130"/>
      <c r="Q6" s="1130"/>
      <c r="R6" s="1119"/>
      <c r="S6" s="26"/>
      <c r="T6" s="374"/>
      <c r="U6" s="26"/>
      <c r="V6" s="26"/>
      <c r="W6" s="26"/>
      <c r="X6" s="26"/>
      <c r="Y6" s="26"/>
      <c r="Z6" s="26"/>
      <c r="AA6" s="26"/>
      <c r="AB6" s="26"/>
      <c r="AC6" s="26"/>
      <c r="AD6" s="26"/>
      <c r="AE6" s="26"/>
      <c r="AF6" s="26"/>
      <c r="AG6" s="26"/>
      <c r="AH6" s="26"/>
      <c r="AI6" s="26"/>
      <c r="AJ6" s="26"/>
      <c r="AK6" s="643"/>
      <c r="AL6" s="318"/>
      <c r="AM6" s="318"/>
      <c r="AN6" s="318"/>
      <c r="AO6" s="318"/>
      <c r="AP6" s="318"/>
      <c r="AQ6" s="318"/>
      <c r="AR6" s="318"/>
      <c r="AS6" s="643"/>
    </row>
    <row r="7" spans="1:45" ht="12.75" customHeight="1">
      <c r="A7" s="614" t="s">
        <v>576</v>
      </c>
      <c r="B7" s="138"/>
      <c r="C7" s="138"/>
      <c r="D7" s="138"/>
      <c r="E7" s="2"/>
      <c r="F7" s="2"/>
      <c r="G7" s="136"/>
      <c r="H7" s="1406" t="s">
        <v>175</v>
      </c>
      <c r="I7" s="1407"/>
      <c r="J7" s="138"/>
      <c r="K7" s="138"/>
      <c r="L7" s="138"/>
      <c r="M7" s="138"/>
      <c r="N7" s="138"/>
      <c r="O7" s="138"/>
      <c r="P7" s="138"/>
      <c r="Q7" s="138"/>
      <c r="R7" s="904"/>
      <c r="S7" s="26"/>
      <c r="T7" s="374"/>
      <c r="U7" s="26"/>
      <c r="V7" s="26"/>
      <c r="W7" s="26"/>
      <c r="X7" s="26"/>
      <c r="Y7" s="26"/>
      <c r="Z7" s="26"/>
      <c r="AA7" s="26"/>
      <c r="AB7" s="26"/>
      <c r="AC7" s="26"/>
      <c r="AD7" s="26"/>
      <c r="AE7" s="26"/>
      <c r="AF7" s="26"/>
      <c r="AG7" s="26"/>
      <c r="AH7" s="26"/>
      <c r="AI7" s="26"/>
      <c r="AJ7" s="26"/>
      <c r="AK7" s="638"/>
      <c r="AL7" s="318"/>
      <c r="AM7" s="318"/>
      <c r="AN7" s="318"/>
      <c r="AO7" s="318"/>
      <c r="AP7" s="318"/>
      <c r="AQ7" s="318"/>
      <c r="AR7" s="318"/>
      <c r="AS7" s="643"/>
    </row>
    <row r="8" spans="1:45" ht="12.75" customHeight="1">
      <c r="A8" s="615" t="s">
        <v>577</v>
      </c>
      <c r="B8" s="895"/>
      <c r="C8" s="895"/>
      <c r="D8" s="895"/>
      <c r="G8" s="15"/>
      <c r="H8" s="1406">
        <v>2</v>
      </c>
      <c r="I8" s="1407"/>
      <c r="J8" s="171" t="str">
        <f>IF(H7="other","Proof of Equivalency Required","")</f>
        <v/>
      </c>
      <c r="K8" s="895"/>
      <c r="L8" s="895"/>
      <c r="M8" s="895"/>
      <c r="N8" s="895"/>
      <c r="O8" s="895"/>
      <c r="P8" s="895"/>
      <c r="Q8" s="895"/>
      <c r="R8" s="905"/>
      <c r="S8" s="26"/>
      <c r="T8" s="318"/>
      <c r="U8" s="318"/>
      <c r="V8" s="318"/>
      <c r="W8" s="318"/>
      <c r="X8" s="318"/>
      <c r="Y8" s="318"/>
      <c r="Z8" s="318"/>
      <c r="AA8" s="318"/>
      <c r="AB8" s="318"/>
      <c r="AC8" s="318"/>
      <c r="AD8" s="318"/>
      <c r="AE8" s="318"/>
      <c r="AF8" s="318"/>
      <c r="AG8" s="318"/>
      <c r="AH8" s="318"/>
      <c r="AI8" s="318"/>
      <c r="AJ8" s="318"/>
      <c r="AK8" s="638"/>
      <c r="AL8" s="318"/>
      <c r="AM8" s="318"/>
      <c r="AN8" s="318"/>
      <c r="AO8" s="318"/>
      <c r="AP8" s="318"/>
      <c r="AQ8" s="318"/>
      <c r="AR8" s="318"/>
      <c r="AS8" s="643"/>
    </row>
    <row r="9" spans="1:45">
      <c r="A9" s="615" t="s">
        <v>578</v>
      </c>
      <c r="B9" s="895"/>
      <c r="C9" s="895"/>
      <c r="D9" s="895"/>
      <c r="G9" s="15"/>
      <c r="H9" s="1406">
        <v>150</v>
      </c>
      <c r="I9" s="1407"/>
      <c r="J9" s="170"/>
      <c r="K9" s="895"/>
      <c r="L9" s="895"/>
      <c r="M9" s="895"/>
      <c r="N9" s="895"/>
      <c r="O9" s="895"/>
      <c r="P9" s="895"/>
      <c r="Q9" s="895"/>
      <c r="R9" s="905"/>
      <c r="S9" s="26"/>
      <c r="T9" s="318"/>
      <c r="U9" s="318"/>
      <c r="V9" s="318"/>
      <c r="W9" s="318"/>
      <c r="X9" s="318"/>
      <c r="Y9" s="318"/>
      <c r="Z9" s="318"/>
      <c r="AA9" s="318"/>
      <c r="AB9" s="318"/>
      <c r="AC9" s="318"/>
      <c r="AD9" s="318"/>
      <c r="AE9" s="318"/>
      <c r="AF9" s="318"/>
      <c r="AG9" s="318"/>
      <c r="AH9" s="318"/>
      <c r="AI9" s="318"/>
      <c r="AJ9" s="318"/>
      <c r="AK9" s="643"/>
      <c r="AL9" s="318"/>
      <c r="AM9" s="318"/>
      <c r="AN9" s="318"/>
      <c r="AO9" s="318"/>
      <c r="AP9" s="318"/>
      <c r="AQ9" s="318"/>
      <c r="AR9" s="318"/>
      <c r="AS9" s="643"/>
    </row>
    <row r="10" spans="1:45" ht="12.75" customHeight="1">
      <c r="A10" s="614" t="s">
        <v>579</v>
      </c>
      <c r="B10" s="138"/>
      <c r="C10" s="138"/>
      <c r="D10" s="138"/>
      <c r="E10" s="2"/>
      <c r="F10" s="2"/>
      <c r="G10" s="136"/>
      <c r="H10" s="1406" t="s">
        <v>175</v>
      </c>
      <c r="I10" s="1407"/>
      <c r="J10" s="895"/>
      <c r="K10" s="895"/>
      <c r="L10" s="895"/>
      <c r="M10" s="895"/>
      <c r="N10" s="895"/>
      <c r="O10" s="895"/>
      <c r="P10" s="895"/>
      <c r="Q10" s="895"/>
      <c r="R10" s="905"/>
      <c r="S10" s="26"/>
      <c r="T10" s="318"/>
      <c r="U10" s="318"/>
      <c r="V10" s="318"/>
      <c r="W10" s="318"/>
      <c r="X10" s="318"/>
      <c r="Y10" s="318"/>
      <c r="Z10" s="318"/>
      <c r="AA10" s="318"/>
      <c r="AB10" s="318"/>
      <c r="AC10" s="318"/>
      <c r="AD10" s="318"/>
      <c r="AE10" s="318"/>
      <c r="AF10" s="318"/>
      <c r="AG10" s="318"/>
      <c r="AH10" s="318"/>
      <c r="AI10" s="318"/>
      <c r="AJ10" s="318"/>
      <c r="AK10" s="643"/>
      <c r="AL10" s="318"/>
      <c r="AM10" s="318"/>
      <c r="AN10" s="318"/>
      <c r="AO10" s="318"/>
      <c r="AP10" s="318"/>
      <c r="AQ10" s="318"/>
      <c r="AR10" s="318"/>
      <c r="AS10" s="643"/>
    </row>
    <row r="11" spans="1:45">
      <c r="A11" s="615" t="s">
        <v>577</v>
      </c>
      <c r="B11" s="895"/>
      <c r="C11" s="895"/>
      <c r="D11" s="895"/>
      <c r="G11" s="15"/>
      <c r="H11" s="1406">
        <v>1</v>
      </c>
      <c r="I11" s="1407"/>
      <c r="J11" s="170" t="str">
        <f>IF(H10="other","Proof of Equivalency Required","")</f>
        <v/>
      </c>
      <c r="K11" s="895"/>
      <c r="L11" s="895"/>
      <c r="M11" s="895"/>
      <c r="N11" s="895"/>
      <c r="O11" s="895"/>
      <c r="P11" s="895"/>
      <c r="Q11" s="895"/>
      <c r="R11" s="905"/>
      <c r="S11" s="26"/>
      <c r="T11" s="26"/>
      <c r="U11" s="26"/>
      <c r="V11" s="26"/>
      <c r="W11" s="26"/>
      <c r="X11" s="26"/>
      <c r="Y11" s="26"/>
      <c r="Z11" s="26"/>
      <c r="AA11" s="26"/>
      <c r="AB11" s="26"/>
      <c r="AC11" s="26"/>
      <c r="AD11" s="26"/>
      <c r="AE11" s="26"/>
      <c r="AF11" s="26"/>
      <c r="AG11" s="26"/>
      <c r="AH11" s="26"/>
      <c r="AI11" s="26"/>
      <c r="AJ11" s="26"/>
      <c r="AK11" s="638"/>
      <c r="AL11" s="318"/>
      <c r="AM11" s="318"/>
      <c r="AN11" s="318"/>
      <c r="AO11" s="318"/>
      <c r="AP11" s="318"/>
      <c r="AQ11" s="318"/>
      <c r="AR11" s="318"/>
      <c r="AS11" s="643"/>
    </row>
    <row r="12" spans="1:45">
      <c r="A12" s="616" t="s">
        <v>580</v>
      </c>
      <c r="B12" s="139"/>
      <c r="C12" s="139"/>
      <c r="D12" s="139"/>
      <c r="E12" s="80"/>
      <c r="F12" s="80"/>
      <c r="G12" s="81"/>
      <c r="H12" s="1406">
        <v>100</v>
      </c>
      <c r="I12" s="1407"/>
      <c r="J12" s="170"/>
      <c r="K12" s="895"/>
      <c r="L12" s="895"/>
      <c r="M12" s="895"/>
      <c r="N12" s="895"/>
      <c r="O12" s="895"/>
      <c r="P12" s="895"/>
      <c r="Q12" s="895"/>
      <c r="R12" s="905"/>
      <c r="S12" s="26"/>
      <c r="T12" s="26"/>
      <c r="U12" s="26"/>
      <c r="V12" s="26"/>
      <c r="W12" s="26"/>
      <c r="X12" s="26"/>
      <c r="Y12" s="26"/>
      <c r="Z12" s="26"/>
      <c r="AA12" s="26"/>
      <c r="AB12" s="26"/>
      <c r="AC12" s="26"/>
      <c r="AD12" s="26"/>
      <c r="AE12" s="26"/>
      <c r="AF12" s="26"/>
      <c r="AG12" s="26"/>
      <c r="AH12" s="26"/>
      <c r="AI12" s="26"/>
      <c r="AJ12" s="26"/>
      <c r="AK12" s="638"/>
      <c r="AL12" s="318"/>
      <c r="AM12" s="318"/>
      <c r="AN12" s="318"/>
      <c r="AO12" s="318"/>
      <c r="AP12" s="318"/>
      <c r="AQ12" s="318"/>
      <c r="AR12" s="318"/>
      <c r="AS12" s="643"/>
    </row>
    <row r="13" spans="1:45" ht="12.75" customHeight="1">
      <c r="A13" s="614" t="s">
        <v>581</v>
      </c>
      <c r="B13" s="138"/>
      <c r="C13" s="138"/>
      <c r="D13" s="138"/>
      <c r="E13" s="2"/>
      <c r="F13" s="2"/>
      <c r="G13" s="136"/>
      <c r="H13" s="1406" t="s">
        <v>175</v>
      </c>
      <c r="I13" s="1407"/>
      <c r="J13" s="895"/>
      <c r="K13" s="895"/>
      <c r="L13" s="895"/>
      <c r="M13" s="895"/>
      <c r="N13" s="895"/>
      <c r="O13" s="895"/>
      <c r="P13" s="895"/>
      <c r="Q13" s="895"/>
      <c r="R13" s="905"/>
      <c r="S13" s="26"/>
      <c r="T13" s="26"/>
      <c r="U13" s="26"/>
      <c r="V13" s="26"/>
      <c r="W13" s="26"/>
      <c r="X13" s="26"/>
      <c r="Y13" s="26"/>
      <c r="Z13" s="26"/>
      <c r="AA13" s="26"/>
      <c r="AB13" s="26"/>
      <c r="AC13" s="26"/>
      <c r="AD13" s="26"/>
      <c r="AE13" s="26"/>
      <c r="AF13" s="26"/>
      <c r="AG13" s="26"/>
      <c r="AH13" s="26"/>
      <c r="AI13" s="26"/>
      <c r="AJ13" s="26"/>
      <c r="AK13" s="638"/>
      <c r="AL13" s="318"/>
      <c r="AM13" s="318"/>
      <c r="AN13" s="318"/>
      <c r="AO13" s="318"/>
      <c r="AP13" s="318"/>
      <c r="AQ13" s="318"/>
      <c r="AR13" s="318"/>
      <c r="AS13" s="643"/>
    </row>
    <row r="14" spans="1:45">
      <c r="A14" s="615" t="s">
        <v>577</v>
      </c>
      <c r="B14" s="895"/>
      <c r="C14" s="895"/>
      <c r="D14" s="895"/>
      <c r="G14" s="15"/>
      <c r="H14" s="1406">
        <v>2</v>
      </c>
      <c r="I14" s="1407"/>
      <c r="J14" s="170" t="str">
        <f>IF(H13="other","Proof of Equivalency Required","")</f>
        <v/>
      </c>
      <c r="K14" s="895"/>
      <c r="Q14" s="895"/>
      <c r="R14" s="905"/>
      <c r="S14" s="26"/>
      <c r="T14" s="26"/>
      <c r="U14" s="26"/>
      <c r="V14" s="26"/>
      <c r="W14" s="26"/>
      <c r="X14" s="26"/>
      <c r="Y14" s="26"/>
      <c r="Z14" s="26"/>
      <c r="AA14" s="26"/>
      <c r="AB14" s="26"/>
      <c r="AC14" s="26"/>
      <c r="AD14" s="26"/>
      <c r="AE14" s="26"/>
      <c r="AF14" s="26"/>
      <c r="AG14" s="26"/>
      <c r="AH14" s="26"/>
      <c r="AI14" s="26"/>
      <c r="AJ14" s="26"/>
      <c r="AK14" s="638"/>
      <c r="AL14" s="318"/>
      <c r="AM14" s="318"/>
      <c r="AN14" s="318"/>
      <c r="AO14" s="318"/>
      <c r="AP14" s="318"/>
      <c r="AQ14" s="318"/>
      <c r="AR14" s="318"/>
      <c r="AS14" s="643"/>
    </row>
    <row r="15" spans="1:45">
      <c r="A15" s="616" t="s">
        <v>580</v>
      </c>
      <c r="B15" s="139"/>
      <c r="C15" s="139"/>
      <c r="D15" s="139"/>
      <c r="E15" s="80"/>
      <c r="F15" s="80"/>
      <c r="G15" s="81"/>
      <c r="H15" s="1406">
        <v>90</v>
      </c>
      <c r="I15" s="1407"/>
      <c r="J15" s="170"/>
      <c r="K15" s="895"/>
      <c r="L15" s="895"/>
      <c r="N15" s="253"/>
      <c r="O15" s="253"/>
      <c r="P15" s="253"/>
      <c r="Q15" s="253"/>
      <c r="R15" s="905"/>
      <c r="S15" s="26"/>
      <c r="T15" s="26"/>
      <c r="U15" s="26"/>
      <c r="V15" s="26"/>
      <c r="W15" s="26"/>
      <c r="X15" s="26"/>
      <c r="Y15" s="26"/>
      <c r="Z15" s="26"/>
      <c r="AA15" s="26"/>
      <c r="AB15" s="26"/>
      <c r="AC15" s="26"/>
      <c r="AD15" s="26"/>
      <c r="AE15" s="26"/>
      <c r="AF15" s="26"/>
      <c r="AG15" s="26"/>
      <c r="AH15" s="26"/>
      <c r="AI15" s="26"/>
      <c r="AJ15" s="26"/>
      <c r="AK15" s="638"/>
      <c r="AL15" s="318"/>
      <c r="AM15" s="318"/>
      <c r="AN15" s="318"/>
      <c r="AO15" s="318"/>
      <c r="AP15" s="318"/>
      <c r="AQ15" s="318"/>
      <c r="AR15" s="318"/>
      <c r="AS15" s="643"/>
    </row>
    <row r="16" spans="1:45" ht="12.75" customHeight="1">
      <c r="A16" s="614" t="s">
        <v>582</v>
      </c>
      <c r="B16" s="138"/>
      <c r="C16" s="138"/>
      <c r="D16" s="138"/>
      <c r="E16" s="2"/>
      <c r="F16" s="2"/>
      <c r="G16" s="136"/>
      <c r="H16" s="1406" t="s">
        <v>175</v>
      </c>
      <c r="I16" s="1407"/>
      <c r="J16" s="895"/>
      <c r="K16" s="895"/>
      <c r="L16" s="895"/>
      <c r="M16" s="895"/>
      <c r="N16" s="895"/>
      <c r="O16" s="895"/>
      <c r="P16" s="895"/>
      <c r="Q16" s="895"/>
      <c r="R16" s="905"/>
      <c r="S16" s="26"/>
      <c r="T16" s="26"/>
      <c r="U16" s="26"/>
      <c r="V16" s="26"/>
      <c r="W16" s="26"/>
      <c r="X16" s="26"/>
      <c r="Y16" s="26"/>
      <c r="Z16" s="26"/>
      <c r="AA16" s="26"/>
      <c r="AB16" s="26"/>
      <c r="AC16" s="26"/>
      <c r="AD16" s="26"/>
      <c r="AE16" s="26"/>
      <c r="AF16" s="26"/>
      <c r="AG16" s="26"/>
      <c r="AH16" s="26"/>
      <c r="AI16" s="26"/>
      <c r="AJ16" s="26"/>
      <c r="AK16" s="638"/>
      <c r="AL16" s="318"/>
      <c r="AM16" s="318"/>
      <c r="AN16" s="318"/>
      <c r="AO16" s="318"/>
      <c r="AP16" s="318"/>
      <c r="AQ16" s="318"/>
      <c r="AR16" s="318"/>
      <c r="AS16" s="643"/>
    </row>
    <row r="17" spans="1:45">
      <c r="A17" s="615" t="s">
        <v>577</v>
      </c>
      <c r="B17" s="895"/>
      <c r="C17" s="895"/>
      <c r="D17" s="895"/>
      <c r="G17" s="15"/>
      <c r="H17" s="1406">
        <v>1</v>
      </c>
      <c r="I17" s="1407"/>
      <c r="J17" s="170" t="str">
        <f>IF(H16="other","Proof of Equivalency Required","")</f>
        <v/>
      </c>
      <c r="K17" s="895"/>
      <c r="L17" s="895"/>
      <c r="M17" s="895"/>
      <c r="N17" s="895"/>
      <c r="O17" s="895"/>
      <c r="P17" s="895"/>
      <c r="Q17" s="895"/>
      <c r="R17" s="905"/>
      <c r="S17" s="26"/>
      <c r="T17" s="26"/>
      <c r="U17" s="26"/>
      <c r="V17" s="26"/>
      <c r="W17" s="26"/>
      <c r="X17" s="26"/>
      <c r="Y17" s="26"/>
      <c r="Z17" s="26"/>
      <c r="AA17" s="26"/>
      <c r="AB17" s="26"/>
      <c r="AC17" s="26"/>
      <c r="AD17" s="26"/>
      <c r="AE17" s="26"/>
      <c r="AF17" s="26"/>
      <c r="AG17" s="26"/>
      <c r="AH17" s="26"/>
      <c r="AI17" s="26"/>
      <c r="AJ17" s="26"/>
      <c r="AK17" s="638"/>
      <c r="AL17" s="318"/>
      <c r="AM17" s="318"/>
      <c r="AN17" s="318"/>
      <c r="AO17" s="318"/>
      <c r="AP17" s="318"/>
      <c r="AQ17" s="318"/>
      <c r="AR17" s="318"/>
      <c r="AS17" s="643"/>
    </row>
    <row r="18" spans="1:45">
      <c r="A18" s="616" t="s">
        <v>578</v>
      </c>
      <c r="B18" s="139"/>
      <c r="C18" s="139"/>
      <c r="D18" s="139"/>
      <c r="E18" s="80"/>
      <c r="F18" s="80"/>
      <c r="G18" s="81"/>
      <c r="H18" s="1406">
        <v>150</v>
      </c>
      <c r="I18" s="1407"/>
      <c r="J18" s="170"/>
      <c r="K18" s="895"/>
      <c r="L18" s="895"/>
      <c r="M18" s="895"/>
      <c r="N18" s="895"/>
      <c r="O18" s="895"/>
      <c r="P18" s="895"/>
      <c r="Q18" s="895"/>
      <c r="R18" s="905"/>
      <c r="S18" s="26"/>
      <c r="T18" s="26"/>
      <c r="U18" s="26"/>
      <c r="V18" s="26"/>
      <c r="W18" s="26"/>
      <c r="X18" s="26"/>
      <c r="Y18" s="26"/>
      <c r="Z18" s="26"/>
      <c r="AA18" s="26"/>
      <c r="AB18" s="26"/>
      <c r="AC18" s="26"/>
      <c r="AD18" s="26"/>
      <c r="AE18" s="26"/>
      <c r="AF18" s="26"/>
      <c r="AG18" s="26"/>
      <c r="AH18" s="26"/>
      <c r="AI18" s="26"/>
      <c r="AJ18" s="26"/>
      <c r="AK18" s="638"/>
      <c r="AL18" s="318"/>
      <c r="AM18" s="318"/>
      <c r="AN18" s="318"/>
      <c r="AO18" s="318"/>
      <c r="AP18" s="318"/>
      <c r="AQ18" s="318"/>
      <c r="AR18" s="318"/>
      <c r="AS18" s="643"/>
    </row>
    <row r="19" spans="1:45">
      <c r="A19" s="615" t="s">
        <v>583</v>
      </c>
      <c r="B19" s="170"/>
      <c r="C19" s="170"/>
      <c r="D19" s="170"/>
      <c r="E19" s="170"/>
      <c r="F19" s="170"/>
      <c r="G19" s="170"/>
      <c r="H19" s="1410" t="s">
        <v>111</v>
      </c>
      <c r="I19" s="1411"/>
      <c r="J19" s="896" t="str">
        <f t="shared" ref="J19:J24" si="0">IF(H19="N/A","",IF(H19="0-8","2","3"))</f>
        <v/>
      </c>
      <c r="K19" s="512" t="str">
        <f t="shared" ref="K19:K24" si="1">IF(NOT(H19="N/A"),"M6 fasteners required between vert. walls","")</f>
        <v/>
      </c>
      <c r="L19" s="170"/>
      <c r="M19" s="170"/>
      <c r="N19" s="170"/>
      <c r="O19" s="170"/>
      <c r="P19" s="170"/>
      <c r="Q19" s="170"/>
      <c r="R19" s="172"/>
      <c r="S19" s="26"/>
      <c r="T19" s="26"/>
      <c r="U19" s="26"/>
      <c r="V19" s="26"/>
      <c r="W19" s="26"/>
      <c r="X19" s="26"/>
      <c r="Y19" s="26"/>
      <c r="Z19" s="26"/>
      <c r="AA19" s="26"/>
      <c r="AB19" s="26"/>
      <c r="AC19" s="26"/>
      <c r="AD19" s="26"/>
      <c r="AE19" s="26"/>
      <c r="AF19" s="26"/>
      <c r="AG19" s="26"/>
      <c r="AH19" s="26"/>
      <c r="AI19" s="26"/>
      <c r="AJ19" s="26"/>
      <c r="AK19" s="638"/>
      <c r="AL19" s="318"/>
      <c r="AM19" s="318"/>
      <c r="AN19" s="318"/>
      <c r="AO19" s="318"/>
      <c r="AP19" s="318"/>
      <c r="AQ19" s="318"/>
      <c r="AR19" s="318"/>
      <c r="AS19" s="643"/>
    </row>
    <row r="20" spans="1:45">
      <c r="A20" s="615" t="s">
        <v>584</v>
      </c>
      <c r="B20" s="170"/>
      <c r="C20" s="170"/>
      <c r="D20" s="170"/>
      <c r="E20" s="170"/>
      <c r="F20" s="170"/>
      <c r="G20" s="170"/>
      <c r="H20" s="1410" t="s">
        <v>111</v>
      </c>
      <c r="I20" s="1411"/>
      <c r="J20" s="896" t="str">
        <f t="shared" si="0"/>
        <v/>
      </c>
      <c r="K20" s="512" t="str">
        <f t="shared" si="1"/>
        <v/>
      </c>
      <c r="L20" s="170"/>
      <c r="M20" s="170"/>
      <c r="N20" s="170"/>
      <c r="O20" s="170"/>
      <c r="P20" s="170"/>
      <c r="Q20" s="170"/>
      <c r="R20" s="172"/>
      <c r="S20" s="26"/>
      <c r="T20" s="26"/>
      <c r="U20" s="26"/>
      <c r="V20" s="26"/>
      <c r="W20" s="26"/>
      <c r="X20" s="26"/>
      <c r="Y20" s="26"/>
      <c r="Z20" s="26"/>
      <c r="AA20" s="26"/>
      <c r="AB20" s="26"/>
      <c r="AC20" s="26"/>
      <c r="AD20" s="26"/>
      <c r="AE20" s="26"/>
      <c r="AF20" s="26"/>
      <c r="AG20" s="26"/>
      <c r="AH20" s="26"/>
      <c r="AI20" s="26"/>
      <c r="AJ20" s="26"/>
      <c r="AK20" s="638"/>
      <c r="AL20" s="318"/>
      <c r="AM20" s="318"/>
      <c r="AN20" s="318"/>
      <c r="AO20" s="318"/>
      <c r="AP20" s="318"/>
      <c r="AQ20" s="318"/>
      <c r="AR20" s="318"/>
      <c r="AS20" s="643"/>
    </row>
    <row r="21" spans="1:45">
      <c r="A21" s="615" t="s">
        <v>585</v>
      </c>
      <c r="B21" s="897"/>
      <c r="C21" s="170"/>
      <c r="D21" s="170"/>
      <c r="E21" s="170"/>
      <c r="F21" s="170"/>
      <c r="G21" s="170"/>
      <c r="H21" s="1410" t="s">
        <v>111</v>
      </c>
      <c r="I21" s="1411"/>
      <c r="J21" s="896" t="str">
        <f t="shared" si="0"/>
        <v/>
      </c>
      <c r="K21" s="512" t="str">
        <f t="shared" si="1"/>
        <v/>
      </c>
      <c r="L21" s="170"/>
      <c r="M21" s="170"/>
      <c r="N21" s="170"/>
      <c r="O21" s="170"/>
      <c r="P21" s="170"/>
      <c r="Q21" s="170"/>
      <c r="R21" s="172"/>
      <c r="S21" s="26"/>
      <c r="T21" s="26"/>
      <c r="U21" s="26"/>
      <c r="V21" s="26"/>
      <c r="W21" s="26"/>
      <c r="X21" s="26"/>
      <c r="Y21" s="26"/>
      <c r="Z21" s="26"/>
      <c r="AA21" s="26"/>
      <c r="AB21" s="26"/>
      <c r="AC21" s="26"/>
      <c r="AD21" s="26"/>
      <c r="AE21" s="26"/>
      <c r="AF21" s="26"/>
      <c r="AG21" s="26"/>
      <c r="AH21" s="26"/>
      <c r="AI21" s="26"/>
      <c r="AJ21" s="26"/>
      <c r="AK21" s="638"/>
      <c r="AL21" s="318"/>
      <c r="AM21" s="318"/>
      <c r="AN21" s="318"/>
      <c r="AO21" s="318"/>
      <c r="AP21" s="318"/>
      <c r="AQ21" s="318"/>
      <c r="AR21" s="318"/>
      <c r="AS21" s="643"/>
    </row>
    <row r="22" spans="1:45">
      <c r="A22" s="615" t="s">
        <v>586</v>
      </c>
      <c r="B22" s="170"/>
      <c r="C22" s="170"/>
      <c r="D22" s="170"/>
      <c r="E22" s="170"/>
      <c r="F22" s="170"/>
      <c r="G22" s="170"/>
      <c r="H22" s="1410" t="s">
        <v>111</v>
      </c>
      <c r="I22" s="1411"/>
      <c r="J22" s="896" t="str">
        <f t="shared" si="0"/>
        <v/>
      </c>
      <c r="K22" s="512" t="str">
        <f t="shared" si="1"/>
        <v/>
      </c>
      <c r="L22" s="170"/>
      <c r="M22" s="170"/>
      <c r="N22" s="170"/>
      <c r="O22" s="170"/>
      <c r="P22" s="170"/>
      <c r="Q22" s="170"/>
      <c r="R22" s="172"/>
      <c r="S22" s="26"/>
      <c r="T22" s="26"/>
      <c r="U22" s="26"/>
      <c r="V22" s="26"/>
      <c r="W22" s="26"/>
      <c r="X22" s="26"/>
      <c r="Y22" s="26"/>
      <c r="Z22" s="26"/>
      <c r="AA22" s="26"/>
      <c r="AB22" s="26"/>
      <c r="AC22" s="26"/>
      <c r="AD22" s="26"/>
      <c r="AE22" s="26"/>
      <c r="AF22" s="26"/>
      <c r="AG22" s="26"/>
      <c r="AH22" s="26"/>
      <c r="AI22" s="26"/>
      <c r="AJ22" s="26"/>
      <c r="AK22" s="638"/>
      <c r="AL22" s="318"/>
      <c r="AM22" s="318"/>
      <c r="AN22" s="318"/>
      <c r="AO22" s="318"/>
      <c r="AP22" s="318"/>
      <c r="AQ22" s="318"/>
      <c r="AR22" s="318"/>
      <c r="AS22" s="643"/>
    </row>
    <row r="23" spans="1:45">
      <c r="A23" s="615" t="s">
        <v>587</v>
      </c>
      <c r="B23" s="170"/>
      <c r="C23" s="170"/>
      <c r="D23" s="170"/>
      <c r="E23" s="170"/>
      <c r="F23" s="170"/>
      <c r="G23" s="170"/>
      <c r="H23" s="1408" t="s">
        <v>111</v>
      </c>
      <c r="I23" s="1409"/>
      <c r="J23" s="896" t="str">
        <f t="shared" si="0"/>
        <v/>
      </c>
      <c r="K23" s="512" t="str">
        <f t="shared" si="1"/>
        <v/>
      </c>
      <c r="L23" s="170"/>
      <c r="M23" s="170"/>
      <c r="N23" s="170"/>
      <c r="O23" s="170"/>
      <c r="P23" s="170"/>
      <c r="Q23" s="170"/>
      <c r="R23" s="172"/>
      <c r="S23" s="26"/>
      <c r="T23" s="26"/>
      <c r="U23" s="26"/>
      <c r="V23" s="26"/>
      <c r="W23" s="26"/>
      <c r="X23" s="26"/>
      <c r="Y23" s="26"/>
      <c r="Z23" s="26"/>
      <c r="AA23" s="26"/>
      <c r="AB23" s="26"/>
      <c r="AC23" s="26"/>
      <c r="AD23" s="26"/>
      <c r="AE23" s="26"/>
      <c r="AF23" s="26"/>
      <c r="AG23" s="26"/>
      <c r="AH23" s="26"/>
      <c r="AI23" s="26"/>
      <c r="AJ23" s="26"/>
      <c r="AK23" s="638"/>
      <c r="AL23" s="318"/>
      <c r="AM23" s="318"/>
      <c r="AN23" s="318"/>
      <c r="AO23" s="318"/>
      <c r="AP23" s="318"/>
      <c r="AQ23" s="318"/>
      <c r="AR23" s="318"/>
      <c r="AS23" s="643"/>
    </row>
    <row r="24" spans="1:45">
      <c r="A24" s="615" t="s">
        <v>588</v>
      </c>
      <c r="B24" s="170"/>
      <c r="C24" s="170"/>
      <c r="D24" s="170"/>
      <c r="E24" s="170"/>
      <c r="F24" s="170"/>
      <c r="G24" s="170"/>
      <c r="H24" s="1405" t="s">
        <v>111</v>
      </c>
      <c r="I24" s="1405"/>
      <c r="J24" s="896" t="str">
        <f t="shared" si="0"/>
        <v/>
      </c>
      <c r="K24" s="512" t="str">
        <f t="shared" si="1"/>
        <v/>
      </c>
      <c r="L24" s="512"/>
      <c r="M24" s="170"/>
      <c r="N24" s="170"/>
      <c r="O24" s="170"/>
      <c r="P24" s="170"/>
      <c r="Q24" s="170"/>
      <c r="R24" s="172"/>
      <c r="S24" s="26"/>
      <c r="T24" s="26"/>
      <c r="U24" s="26"/>
      <c r="V24" s="26"/>
      <c r="W24" s="26"/>
      <c r="X24" s="26"/>
      <c r="Y24" s="26"/>
      <c r="Z24" s="26"/>
      <c r="AA24" s="26"/>
      <c r="AB24" s="26"/>
      <c r="AC24" s="26"/>
      <c r="AD24" s="26"/>
      <c r="AE24" s="26"/>
      <c r="AF24" s="26"/>
      <c r="AG24" s="26"/>
      <c r="AH24" s="26"/>
      <c r="AI24" s="26"/>
      <c r="AJ24" s="26"/>
      <c r="AK24" s="638"/>
      <c r="AL24" s="318"/>
      <c r="AM24" s="318"/>
      <c r="AN24" s="318"/>
      <c r="AO24" s="318"/>
      <c r="AP24" s="318"/>
      <c r="AQ24" s="318"/>
      <c r="AR24" s="318"/>
      <c r="AS24" s="643"/>
    </row>
    <row r="25" spans="1:45">
      <c r="A25" s="615" t="s">
        <v>589</v>
      </c>
      <c r="B25" s="170"/>
      <c r="C25" s="170"/>
      <c r="D25" s="170"/>
      <c r="E25" s="170"/>
      <c r="F25" s="170"/>
      <c r="G25" s="170"/>
      <c r="H25" s="1405" t="s">
        <v>111</v>
      </c>
      <c r="I25" s="1405"/>
      <c r="J25" s="896" t="str">
        <f t="shared" ref="J25" si="2">IF(H25="N/A","",IF(H25="0-8","2","3"))</f>
        <v/>
      </c>
      <c r="K25" s="512" t="str">
        <f t="shared" ref="K25" si="3">IF(NOT(H25="N/A"),"M6 fasteners required between vert. walls","")</f>
        <v/>
      </c>
      <c r="L25" s="512"/>
      <c r="M25" s="170"/>
      <c r="N25" s="170"/>
      <c r="O25" s="170"/>
      <c r="P25" s="170"/>
      <c r="Q25" s="170"/>
      <c r="R25" s="172"/>
      <c r="S25" s="26"/>
      <c r="T25" s="26"/>
      <c r="U25" s="26"/>
      <c r="V25" s="26"/>
      <c r="W25" s="26"/>
      <c r="X25" s="26"/>
      <c r="Y25" s="26"/>
      <c r="Z25" s="26"/>
      <c r="AA25" s="26"/>
      <c r="AB25" s="26"/>
      <c r="AC25" s="26"/>
      <c r="AD25" s="26"/>
      <c r="AE25" s="26"/>
      <c r="AF25" s="26"/>
      <c r="AG25" s="26"/>
      <c r="AH25" s="26"/>
      <c r="AI25" s="26"/>
      <c r="AJ25" s="26"/>
      <c r="AK25" s="638"/>
      <c r="AL25" s="318"/>
      <c r="AM25" s="318"/>
      <c r="AN25" s="318"/>
      <c r="AO25" s="318"/>
      <c r="AP25" s="318"/>
      <c r="AQ25" s="318"/>
      <c r="AR25" s="318"/>
      <c r="AS25" s="643"/>
    </row>
    <row r="26" spans="1:45">
      <c r="A26" s="615" t="s">
        <v>590</v>
      </c>
      <c r="B26" s="170"/>
      <c r="C26" s="170"/>
      <c r="D26" s="170"/>
      <c r="E26" s="170"/>
      <c r="F26" s="170"/>
      <c r="G26" s="170"/>
      <c r="H26" s="1405" t="s">
        <v>111</v>
      </c>
      <c r="I26" s="1405"/>
      <c r="J26" s="896" t="str">
        <f t="shared" ref="J26" si="4">IF(H26="N/A","",IF(H26="0-8","2","3"))</f>
        <v/>
      </c>
      <c r="K26" s="512" t="str">
        <f t="shared" ref="K26" si="5">IF(NOT(H26="N/A"),"M6 fasteners required between vert. walls","")</f>
        <v/>
      </c>
      <c r="L26" s="512"/>
      <c r="M26" s="170"/>
      <c r="N26" s="170"/>
      <c r="O26" s="170"/>
      <c r="P26" s="170"/>
      <c r="Q26" s="170"/>
      <c r="R26" s="172"/>
      <c r="S26" s="26"/>
      <c r="T26" s="26"/>
      <c r="U26" s="26"/>
      <c r="V26" s="26"/>
      <c r="W26" s="26"/>
      <c r="X26" s="26"/>
      <c r="Y26" s="26"/>
      <c r="Z26" s="26"/>
      <c r="AA26" s="26"/>
      <c r="AB26" s="26"/>
      <c r="AC26" s="26"/>
      <c r="AD26" s="26"/>
      <c r="AE26" s="26"/>
      <c r="AF26" s="26"/>
      <c r="AG26" s="26"/>
      <c r="AH26" s="26"/>
      <c r="AI26" s="26"/>
      <c r="AJ26" s="26"/>
      <c r="AK26" s="638"/>
      <c r="AL26" s="318"/>
      <c r="AM26" s="318"/>
      <c r="AN26" s="318"/>
      <c r="AO26" s="318"/>
      <c r="AP26" s="318"/>
      <c r="AQ26" s="318"/>
      <c r="AR26" s="318"/>
      <c r="AS26" s="643"/>
    </row>
    <row r="27" spans="1:45">
      <c r="A27" s="615" t="s">
        <v>591</v>
      </c>
      <c r="B27" s="170"/>
      <c r="C27" s="170"/>
      <c r="D27" s="170"/>
      <c r="E27" s="170"/>
      <c r="F27" s="170"/>
      <c r="G27" s="170"/>
      <c r="H27" s="1405" t="s">
        <v>111</v>
      </c>
      <c r="I27" s="1405"/>
      <c r="J27" s="896" t="str">
        <f t="shared" ref="J27" si="6">IF(H27="N/A","",IF(H27="0-8","2","3"))</f>
        <v/>
      </c>
      <c r="K27" s="512" t="str">
        <f t="shared" ref="K27" si="7">IF(NOT(H27="N/A"),"M6 fasteners required between vert. walls","")</f>
        <v/>
      </c>
      <c r="L27" s="512"/>
      <c r="M27" s="170"/>
      <c r="N27" s="170"/>
      <c r="O27" s="170"/>
      <c r="P27" s="170"/>
      <c r="Q27" s="170"/>
      <c r="R27" s="172"/>
      <c r="S27" s="26"/>
      <c r="T27" s="26"/>
      <c r="U27" s="26"/>
      <c r="V27" s="26"/>
      <c r="W27" s="26"/>
      <c r="X27" s="26"/>
      <c r="Y27" s="26"/>
      <c r="Z27" s="26"/>
      <c r="AA27" s="26"/>
      <c r="AB27" s="26"/>
      <c r="AC27" s="26"/>
      <c r="AD27" s="26"/>
      <c r="AE27" s="26"/>
      <c r="AF27" s="26"/>
      <c r="AG27" s="26"/>
      <c r="AH27" s="26"/>
      <c r="AI27" s="26"/>
      <c r="AJ27" s="26"/>
      <c r="AK27" s="638"/>
      <c r="AL27" s="318"/>
      <c r="AM27" s="318"/>
      <c r="AN27" s="318"/>
      <c r="AO27" s="318"/>
      <c r="AP27" s="318"/>
      <c r="AQ27" s="318"/>
      <c r="AR27" s="318"/>
      <c r="AS27" s="643"/>
    </row>
    <row r="28" spans="1:45">
      <c r="A28" s="616" t="s">
        <v>592</v>
      </c>
      <c r="B28" s="173"/>
      <c r="C28" s="173"/>
      <c r="D28" s="173"/>
      <c r="E28" s="173"/>
      <c r="F28" s="173"/>
      <c r="G28" s="173"/>
      <c r="H28" s="1405" t="s">
        <v>111</v>
      </c>
      <c r="I28" s="1405"/>
      <c r="J28" s="370" t="str">
        <f>IF(H28="N/A","",IF(H28="0-8","2","3"))</f>
        <v/>
      </c>
      <c r="K28" s="513" t="str">
        <f t="shared" ref="K28" si="8">IF(NOT(H28="N/A"),"M6 fasteners required between vert. walls","")</f>
        <v/>
      </c>
      <c r="L28" s="513"/>
      <c r="M28" s="173"/>
      <c r="N28" s="173"/>
      <c r="O28" s="173"/>
      <c r="P28" s="173"/>
      <c r="Q28" s="173"/>
      <c r="R28" s="174"/>
      <c r="S28" s="26"/>
      <c r="T28" s="26"/>
      <c r="U28" s="26"/>
      <c r="V28" s="26"/>
      <c r="W28" s="26"/>
      <c r="X28" s="26"/>
      <c r="Y28" s="26"/>
      <c r="Z28" s="26"/>
      <c r="AA28" s="26"/>
      <c r="AB28" s="26"/>
      <c r="AC28" s="26"/>
      <c r="AD28" s="26"/>
      <c r="AE28" s="26"/>
      <c r="AF28" s="26"/>
      <c r="AG28" s="26"/>
      <c r="AH28" s="26"/>
      <c r="AI28" s="26"/>
      <c r="AJ28" s="26"/>
      <c r="AK28" s="638"/>
      <c r="AL28" s="318"/>
      <c r="AM28" s="318"/>
      <c r="AN28" s="318"/>
      <c r="AO28" s="318"/>
      <c r="AP28" s="318"/>
      <c r="AQ28" s="318"/>
      <c r="AR28" s="318"/>
      <c r="AS28" s="643"/>
    </row>
    <row r="29" spans="1:45" ht="13.15">
      <c r="A29" s="898"/>
      <c r="B29" s="1403" t="s">
        <v>593</v>
      </c>
      <c r="C29" s="1403"/>
      <c r="D29" s="1403"/>
      <c r="E29" s="1403"/>
      <c r="F29" s="1403"/>
      <c r="G29" s="1403"/>
      <c r="H29" s="1403"/>
      <c r="I29" s="1403"/>
      <c r="J29" s="1403"/>
      <c r="K29" s="1403"/>
      <c r="L29" s="1403"/>
      <c r="M29" s="1403"/>
      <c r="N29" s="1403"/>
      <c r="O29" s="1403"/>
      <c r="P29" s="1403"/>
      <c r="Q29" s="1403"/>
      <c r="R29" s="1404"/>
      <c r="S29" s="318"/>
      <c r="T29" s="318"/>
      <c r="U29" s="318"/>
      <c r="V29" s="318"/>
      <c r="W29" s="318"/>
      <c r="X29" s="318"/>
      <c r="Y29" s="318"/>
      <c r="Z29" s="318"/>
      <c r="AA29" s="318"/>
      <c r="AB29" s="318"/>
      <c r="AC29" s="318"/>
      <c r="AD29" s="318"/>
      <c r="AE29" s="318"/>
      <c r="AF29" s="318"/>
      <c r="AG29" s="318"/>
      <c r="AH29" s="318"/>
      <c r="AI29" s="318"/>
      <c r="AJ29" s="318"/>
      <c r="AK29" s="643"/>
      <c r="AL29" s="318"/>
      <c r="AM29" s="318"/>
      <c r="AN29" s="318"/>
      <c r="AO29" s="318"/>
      <c r="AP29" s="318"/>
      <c r="AQ29" s="318"/>
      <c r="AR29" s="318"/>
      <c r="AS29" s="643"/>
    </row>
    <row r="30" spans="1:45" ht="13.15">
      <c r="A30" s="898"/>
      <c r="B30" s="1403" t="s">
        <v>594</v>
      </c>
      <c r="C30" s="1403"/>
      <c r="D30" s="1403"/>
      <c r="E30" s="1403"/>
      <c r="F30" s="1403"/>
      <c r="G30" s="1403"/>
      <c r="H30" s="1403"/>
      <c r="I30" s="1403"/>
      <c r="J30" s="1403"/>
      <c r="K30" s="1403"/>
      <c r="L30" s="1403"/>
      <c r="M30" s="1403"/>
      <c r="N30" s="1403"/>
      <c r="O30" s="1403"/>
      <c r="P30" s="1403"/>
      <c r="Q30" s="1403"/>
      <c r="R30" s="1404"/>
      <c r="S30" s="318"/>
      <c r="T30" s="318"/>
      <c r="U30" s="318"/>
      <c r="V30" s="318"/>
      <c r="W30" s="318"/>
      <c r="X30" s="318"/>
      <c r="Y30" s="318"/>
      <c r="Z30" s="318"/>
      <c r="AA30" s="318"/>
      <c r="AB30" s="318"/>
      <c r="AC30" s="318"/>
      <c r="AD30" s="318"/>
      <c r="AE30" s="318"/>
      <c r="AF30" s="318"/>
      <c r="AG30" s="318"/>
      <c r="AH30" s="318"/>
      <c r="AI30" s="318"/>
      <c r="AJ30" s="318"/>
      <c r="AK30" s="643"/>
      <c r="AL30" s="318"/>
      <c r="AM30" s="318"/>
      <c r="AN30" s="318"/>
      <c r="AO30" s="318"/>
      <c r="AP30" s="318"/>
      <c r="AQ30" s="318"/>
      <c r="AR30" s="318"/>
      <c r="AS30" s="643"/>
    </row>
    <row r="31" spans="1:45" ht="13.15">
      <c r="A31" s="898"/>
      <c r="B31" s="1412" t="s">
        <v>595</v>
      </c>
      <c r="C31" s="1403"/>
      <c r="D31" s="1403"/>
      <c r="E31" s="1403"/>
      <c r="F31" s="1403"/>
      <c r="G31" s="1403"/>
      <c r="H31" s="1403"/>
      <c r="I31" s="1403"/>
      <c r="J31" s="1403"/>
      <c r="K31" s="1403"/>
      <c r="L31" s="1403"/>
      <c r="M31" s="1403"/>
      <c r="N31" s="1403"/>
      <c r="O31" s="1403"/>
      <c r="P31" s="1403"/>
      <c r="Q31" s="1403"/>
      <c r="R31" s="906"/>
      <c r="S31" s="318"/>
      <c r="T31" s="318"/>
      <c r="U31" s="318"/>
      <c r="V31" s="318"/>
      <c r="W31" s="318"/>
      <c r="X31" s="318"/>
      <c r="Y31" s="318"/>
      <c r="Z31" s="318"/>
      <c r="AA31" s="318"/>
      <c r="AB31" s="318"/>
      <c r="AC31" s="318"/>
      <c r="AD31" s="318"/>
      <c r="AE31" s="318"/>
      <c r="AF31" s="318"/>
      <c r="AG31" s="318"/>
      <c r="AH31" s="318"/>
      <c r="AI31" s="318"/>
      <c r="AJ31" s="318"/>
      <c r="AK31" s="643"/>
      <c r="AL31" s="318"/>
      <c r="AM31" s="318"/>
      <c r="AN31" s="318"/>
      <c r="AO31" s="318"/>
      <c r="AP31" s="318"/>
      <c r="AQ31" s="318"/>
      <c r="AR31" s="318"/>
      <c r="AS31" s="643"/>
    </row>
    <row r="32" spans="1:45">
      <c r="A32" s="899"/>
      <c r="B32" s="900"/>
      <c r="C32" s="900"/>
      <c r="D32" s="900"/>
      <c r="E32" s="900"/>
      <c r="F32" s="900"/>
      <c r="G32" s="900"/>
      <c r="H32" s="900"/>
      <c r="I32" s="900"/>
      <c r="J32" s="900"/>
      <c r="K32" s="900"/>
      <c r="L32" s="900"/>
      <c r="M32" s="900"/>
      <c r="N32" s="900"/>
      <c r="O32" s="900"/>
      <c r="P32" s="900"/>
      <c r="Q32" s="900"/>
      <c r="R32" s="907"/>
      <c r="S32" s="318"/>
      <c r="T32" s="318"/>
      <c r="U32" s="318"/>
      <c r="V32" s="318"/>
      <c r="W32" s="318"/>
      <c r="X32" s="318"/>
      <c r="Y32" s="318"/>
      <c r="Z32" s="318"/>
      <c r="AA32" s="318"/>
      <c r="AB32" s="318"/>
      <c r="AC32" s="318"/>
      <c r="AD32" s="318"/>
      <c r="AE32" s="318"/>
      <c r="AF32" s="318"/>
      <c r="AG32" s="318"/>
      <c r="AH32" s="318"/>
      <c r="AI32" s="318"/>
      <c r="AJ32" s="318"/>
      <c r="AK32" s="643"/>
      <c r="AL32" s="318"/>
      <c r="AM32" s="318"/>
      <c r="AN32" s="318"/>
      <c r="AO32" s="318"/>
      <c r="AP32" s="318"/>
      <c r="AQ32" s="318"/>
      <c r="AR32" s="318"/>
      <c r="AS32" s="643"/>
    </row>
    <row r="33" spans="1:45" ht="12.75" customHeight="1">
      <c r="A33" s="407"/>
      <c r="B33" s="1413" t="s">
        <v>596</v>
      </c>
      <c r="C33" s="1414"/>
      <c r="D33" s="1414"/>
      <c r="E33" s="1414"/>
      <c r="F33" s="1414"/>
      <c r="G33" s="1414"/>
      <c r="H33" s="1444" t="s">
        <v>597</v>
      </c>
      <c r="I33" s="1445"/>
      <c r="J33" s="1446"/>
      <c r="K33" s="1419" t="s">
        <v>598</v>
      </c>
      <c r="L33" s="1420"/>
      <c r="M33" s="1425" t="s">
        <v>599</v>
      </c>
      <c r="N33" s="1420"/>
      <c r="O33" s="1425" t="s">
        <v>600</v>
      </c>
      <c r="P33" s="1419"/>
      <c r="Q33" s="1420"/>
      <c r="R33" s="907"/>
      <c r="S33" s="318"/>
      <c r="T33" s="318"/>
      <c r="U33" s="318"/>
      <c r="V33" s="318"/>
      <c r="W33" s="318"/>
      <c r="X33" s="318"/>
      <c r="Y33" s="318"/>
      <c r="Z33" s="318"/>
      <c r="AA33" s="318"/>
      <c r="AB33" s="318"/>
      <c r="AC33" s="318"/>
      <c r="AD33" s="318"/>
      <c r="AE33" s="318"/>
      <c r="AF33" s="318"/>
      <c r="AG33" s="318"/>
      <c r="AH33" s="318"/>
      <c r="AI33" s="318"/>
      <c r="AJ33" s="318"/>
      <c r="AK33" s="643"/>
      <c r="AL33" s="318"/>
      <c r="AM33" s="318"/>
      <c r="AN33" s="318"/>
      <c r="AO33" s="318"/>
      <c r="AP33" s="318"/>
      <c r="AQ33" s="318"/>
      <c r="AR33" s="318"/>
      <c r="AS33" s="643"/>
    </row>
    <row r="34" spans="1:45" ht="15" customHeight="1">
      <c r="A34" s="407"/>
      <c r="B34" s="1415"/>
      <c r="C34" s="1416"/>
      <c r="D34" s="1416"/>
      <c r="E34" s="1416"/>
      <c r="F34" s="1416"/>
      <c r="G34" s="1416"/>
      <c r="H34" s="1447"/>
      <c r="I34" s="1448"/>
      <c r="J34" s="1449"/>
      <c r="K34" s="1421"/>
      <c r="L34" s="1422"/>
      <c r="M34" s="1426"/>
      <c r="N34" s="1422"/>
      <c r="O34" s="1426"/>
      <c r="P34" s="1421"/>
      <c r="Q34" s="1422"/>
      <c r="R34" s="907"/>
      <c r="S34" s="318"/>
      <c r="T34" s="318"/>
      <c r="U34" s="318"/>
      <c r="V34" s="318"/>
      <c r="W34" s="318"/>
      <c r="X34" s="318"/>
      <c r="Y34" s="318"/>
      <c r="Z34" s="318"/>
      <c r="AA34" s="318"/>
      <c r="AB34" s="318"/>
      <c r="AC34" s="318"/>
      <c r="AD34" s="318"/>
      <c r="AE34" s="318"/>
      <c r="AF34" s="318"/>
      <c r="AG34" s="318"/>
      <c r="AH34" s="318"/>
      <c r="AI34" s="318"/>
      <c r="AJ34" s="318"/>
      <c r="AK34" s="643"/>
      <c r="AL34" s="318"/>
      <c r="AM34" s="318"/>
      <c r="AN34" s="318"/>
      <c r="AO34" s="318"/>
      <c r="AP34" s="318"/>
      <c r="AQ34" s="318"/>
      <c r="AR34" s="318"/>
      <c r="AS34" s="643"/>
    </row>
    <row r="35" spans="1:45" ht="15" customHeight="1">
      <c r="A35" s="407"/>
      <c r="B35" s="1417"/>
      <c r="C35" s="1418"/>
      <c r="D35" s="1418"/>
      <c r="E35" s="1418"/>
      <c r="F35" s="1418"/>
      <c r="G35" s="1418"/>
      <c r="H35" s="795" t="s">
        <v>601</v>
      </c>
      <c r="I35" s="795" t="s">
        <v>602</v>
      </c>
      <c r="J35" s="795" t="s">
        <v>603</v>
      </c>
      <c r="K35" s="1423"/>
      <c r="L35" s="1424"/>
      <c r="M35" s="1427"/>
      <c r="N35" s="1424"/>
      <c r="O35" s="1427"/>
      <c r="P35" s="1423"/>
      <c r="Q35" s="1424"/>
      <c r="R35" s="907"/>
      <c r="S35" s="318"/>
      <c r="T35" s="318"/>
      <c r="U35" s="318"/>
      <c r="V35" s="318"/>
      <c r="W35" s="318"/>
      <c r="X35" s="318"/>
      <c r="Y35" s="318"/>
      <c r="Z35" s="318"/>
      <c r="AA35" s="318"/>
      <c r="AB35" s="318"/>
      <c r="AC35" s="318"/>
      <c r="AD35" s="318"/>
      <c r="AE35" s="318"/>
      <c r="AF35" s="318"/>
      <c r="AG35" s="318"/>
      <c r="AH35" s="318"/>
      <c r="AI35" s="318"/>
      <c r="AJ35" s="318"/>
      <c r="AK35" s="643"/>
      <c r="AL35" s="318"/>
      <c r="AM35" s="318"/>
      <c r="AN35" s="318"/>
      <c r="AO35" s="318"/>
      <c r="AP35" s="318"/>
      <c r="AQ35" s="318"/>
      <c r="AR35" s="318"/>
      <c r="AS35" s="643"/>
    </row>
    <row r="36" spans="1:45">
      <c r="A36" s="407"/>
      <c r="B36" s="930" t="s">
        <v>604</v>
      </c>
      <c r="C36" s="931"/>
      <c r="D36" s="931" t="s">
        <v>605</v>
      </c>
      <c r="E36" s="931"/>
      <c r="F36" s="931"/>
      <c r="G36" s="932"/>
      <c r="H36" s="1450" t="s">
        <v>122</v>
      </c>
      <c r="I36" s="1451"/>
      <c r="J36" s="1451"/>
      <c r="K36" s="1430" t="s">
        <v>606</v>
      </c>
      <c r="L36" s="1431"/>
      <c r="M36" s="1428" t="s">
        <v>607</v>
      </c>
      <c r="N36" s="1428"/>
      <c r="O36" s="1429" t="s">
        <v>607</v>
      </c>
      <c r="P36" s="1429"/>
      <c r="Q36" s="1429"/>
      <c r="R36" s="907"/>
      <c r="S36" s="644"/>
      <c r="T36" s="318"/>
      <c r="U36" s="318"/>
      <c r="V36" s="318"/>
      <c r="W36" s="318"/>
      <c r="X36" s="318"/>
      <c r="Y36" s="318"/>
      <c r="Z36" s="318"/>
      <c r="AA36" s="318"/>
      <c r="AB36" s="318"/>
      <c r="AC36" s="318"/>
      <c r="AD36" s="318"/>
      <c r="AE36" s="318"/>
      <c r="AF36" s="318"/>
      <c r="AG36" s="318"/>
      <c r="AH36" s="318"/>
      <c r="AI36" s="318"/>
      <c r="AJ36" s="318"/>
      <c r="AK36" s="643"/>
      <c r="AL36" s="318"/>
      <c r="AM36" s="318"/>
      <c r="AN36" s="318"/>
      <c r="AO36" s="318"/>
      <c r="AP36" s="318"/>
      <c r="AQ36" s="318"/>
      <c r="AR36" s="318"/>
      <c r="AS36" s="643"/>
    </row>
    <row r="37" spans="1:45">
      <c r="A37" s="407"/>
      <c r="B37" s="942" t="s">
        <v>608</v>
      </c>
      <c r="C37" s="80"/>
      <c r="D37" s="592" t="s">
        <v>609</v>
      </c>
      <c r="E37" s="80"/>
      <c r="F37" s="80"/>
      <c r="G37" s="81"/>
      <c r="H37" s="1441" t="s">
        <v>122</v>
      </c>
      <c r="I37" s="1442"/>
      <c r="J37" s="1443"/>
      <c r="K37" s="1430" t="s">
        <v>606</v>
      </c>
      <c r="L37" s="1431"/>
      <c r="M37" s="1428" t="s">
        <v>607</v>
      </c>
      <c r="N37" s="1428"/>
      <c r="O37" s="1429" t="s">
        <v>607</v>
      </c>
      <c r="P37" s="1429"/>
      <c r="Q37" s="1429"/>
      <c r="R37" s="907"/>
      <c r="S37" s="978"/>
      <c r="T37" s="978"/>
      <c r="U37" s="978"/>
      <c r="V37" s="978"/>
      <c r="W37" s="978"/>
      <c r="X37" s="978"/>
      <c r="Y37" s="978"/>
      <c r="Z37" s="978"/>
      <c r="AA37" s="978"/>
      <c r="AB37" s="978"/>
      <c r="AC37" s="978"/>
      <c r="AD37" s="978"/>
      <c r="AE37" s="978"/>
      <c r="AF37" s="978"/>
      <c r="AG37" s="978"/>
      <c r="AH37" s="978"/>
      <c r="AI37" s="978"/>
      <c r="AJ37" s="318"/>
      <c r="AK37" s="643"/>
      <c r="AL37" s="318"/>
      <c r="AM37" s="318"/>
      <c r="AN37" s="318"/>
      <c r="AO37" s="318"/>
      <c r="AP37" s="318"/>
      <c r="AQ37" s="318"/>
      <c r="AR37" s="318"/>
      <c r="AS37" s="643"/>
    </row>
    <row r="38" spans="1:45">
      <c r="A38" s="407"/>
      <c r="B38" s="930" t="s">
        <v>610</v>
      </c>
      <c r="C38" s="931"/>
      <c r="D38" s="931" t="s">
        <v>611</v>
      </c>
      <c r="E38" s="931"/>
      <c r="F38" s="931"/>
      <c r="G38" s="932"/>
      <c r="H38" s="1441" t="s">
        <v>122</v>
      </c>
      <c r="I38" s="1442"/>
      <c r="J38" s="1443"/>
      <c r="K38" s="1430" t="s">
        <v>606</v>
      </c>
      <c r="L38" s="1431"/>
      <c r="M38" s="1428" t="s">
        <v>607</v>
      </c>
      <c r="N38" s="1428"/>
      <c r="O38" s="1429" t="s">
        <v>607</v>
      </c>
      <c r="P38" s="1429"/>
      <c r="Q38" s="1429"/>
      <c r="R38" s="907"/>
      <c r="S38" s="979"/>
      <c r="T38" s="978"/>
      <c r="U38" s="978"/>
      <c r="V38" s="978"/>
      <c r="W38" s="978"/>
      <c r="X38" s="978"/>
      <c r="Y38" s="978"/>
      <c r="Z38" s="978"/>
      <c r="AA38" s="978"/>
      <c r="AB38" s="978"/>
      <c r="AC38" s="978"/>
      <c r="AD38" s="978"/>
      <c r="AE38" s="978"/>
      <c r="AF38" s="978"/>
      <c r="AG38" s="978"/>
      <c r="AH38" s="978"/>
      <c r="AI38" s="978"/>
      <c r="AJ38" s="318"/>
      <c r="AK38" s="643"/>
      <c r="AL38" s="318"/>
      <c r="AM38" s="318"/>
      <c r="AN38" s="318"/>
      <c r="AO38" s="318"/>
      <c r="AP38" s="318"/>
      <c r="AQ38" s="318"/>
      <c r="AR38" s="318"/>
      <c r="AS38" s="643"/>
    </row>
    <row r="39" spans="1:45">
      <c r="A39" s="407"/>
      <c r="B39" s="930" t="s">
        <v>612</v>
      </c>
      <c r="C39" s="931"/>
      <c r="D39" s="931" t="s">
        <v>613</v>
      </c>
      <c r="E39" s="931"/>
      <c r="F39" s="931"/>
      <c r="G39" s="932"/>
      <c r="H39" s="1441" t="s">
        <v>122</v>
      </c>
      <c r="I39" s="1442"/>
      <c r="J39" s="1443"/>
      <c r="K39" s="1428" t="s">
        <v>607</v>
      </c>
      <c r="L39" s="1428"/>
      <c r="M39" s="1428" t="s">
        <v>607</v>
      </c>
      <c r="N39" s="1428"/>
      <c r="O39" s="1432" t="s">
        <v>606</v>
      </c>
      <c r="P39" s="1433"/>
      <c r="Q39" s="1434"/>
      <c r="R39" s="907"/>
      <c r="S39" s="979"/>
      <c r="T39" s="978"/>
      <c r="U39" s="978"/>
      <c r="V39" s="978"/>
      <c r="W39" s="978"/>
      <c r="X39" s="978"/>
      <c r="Y39" s="978"/>
      <c r="Z39" s="978"/>
      <c r="AA39" s="978"/>
      <c r="AB39" s="978"/>
      <c r="AC39" s="978"/>
      <c r="AD39" s="978"/>
      <c r="AE39" s="978"/>
      <c r="AF39" s="978"/>
      <c r="AG39" s="978"/>
      <c r="AH39" s="978"/>
      <c r="AI39" s="978"/>
      <c r="AJ39" s="318"/>
      <c r="AK39" s="643"/>
      <c r="AL39" s="318"/>
      <c r="AM39" s="318"/>
      <c r="AN39" s="318"/>
      <c r="AO39" s="318"/>
      <c r="AP39" s="318"/>
      <c r="AQ39" s="318"/>
      <c r="AR39" s="318"/>
      <c r="AS39" s="643"/>
    </row>
    <row r="40" spans="1:45">
      <c r="A40" s="407"/>
      <c r="B40" s="930" t="s">
        <v>614</v>
      </c>
      <c r="C40" s="931"/>
      <c r="D40" s="931" t="s">
        <v>615</v>
      </c>
      <c r="E40" s="931"/>
      <c r="F40" s="931"/>
      <c r="G40" s="932"/>
      <c r="H40" s="1441" t="s">
        <v>122</v>
      </c>
      <c r="I40" s="1442"/>
      <c r="J40" s="1443"/>
      <c r="K40" s="1430" t="s">
        <v>606</v>
      </c>
      <c r="L40" s="1431"/>
      <c r="M40" s="1428" t="s">
        <v>607</v>
      </c>
      <c r="N40" s="1428"/>
      <c r="O40" s="1432" t="s">
        <v>606</v>
      </c>
      <c r="P40" s="1433"/>
      <c r="Q40" s="1434"/>
      <c r="R40" s="907"/>
      <c r="S40" s="979"/>
      <c r="T40" s="978"/>
      <c r="U40" s="978"/>
      <c r="V40" s="978"/>
      <c r="W40" s="978"/>
      <c r="X40" s="978"/>
      <c r="Y40" s="978"/>
      <c r="Z40" s="978"/>
      <c r="AA40" s="978"/>
      <c r="AB40" s="978"/>
      <c r="AC40" s="978"/>
      <c r="AD40" s="978"/>
      <c r="AE40" s="978"/>
      <c r="AF40" s="978"/>
      <c r="AG40" s="978"/>
      <c r="AH40" s="978"/>
      <c r="AI40" s="978"/>
      <c r="AJ40" s="318"/>
      <c r="AK40" s="643"/>
      <c r="AL40" s="318"/>
      <c r="AM40" s="318"/>
      <c r="AN40" s="318"/>
      <c r="AO40" s="318"/>
      <c r="AP40" s="318"/>
      <c r="AQ40" s="318"/>
      <c r="AR40" s="318"/>
      <c r="AS40" s="643"/>
    </row>
    <row r="41" spans="1:45">
      <c r="A41" s="407"/>
      <c r="B41" s="937" t="s">
        <v>616</v>
      </c>
      <c r="C41" s="938"/>
      <c r="D41" s="938" t="s">
        <v>617</v>
      </c>
      <c r="E41" s="938"/>
      <c r="F41" s="938"/>
      <c r="G41" s="939"/>
      <c r="H41" s="1441" t="s">
        <v>122</v>
      </c>
      <c r="I41" s="1442"/>
      <c r="J41" s="1443"/>
      <c r="K41" s="1430" t="s">
        <v>606</v>
      </c>
      <c r="L41" s="1431"/>
      <c r="M41" s="1428" t="s">
        <v>607</v>
      </c>
      <c r="N41" s="1428"/>
      <c r="O41" s="1432" t="s">
        <v>606</v>
      </c>
      <c r="P41" s="1433"/>
      <c r="Q41" s="1434"/>
      <c r="R41" s="907"/>
      <c r="S41" s="979"/>
      <c r="T41" s="978"/>
      <c r="U41" s="978"/>
      <c r="V41" s="978"/>
      <c r="W41" s="978"/>
      <c r="X41" s="978"/>
      <c r="Y41" s="978"/>
      <c r="Z41" s="978"/>
      <c r="AA41" s="978"/>
      <c r="AB41" s="978"/>
      <c r="AC41" s="978"/>
      <c r="AD41" s="978"/>
      <c r="AE41" s="978"/>
      <c r="AF41" s="978"/>
      <c r="AG41" s="978"/>
      <c r="AH41" s="978"/>
      <c r="AI41" s="978"/>
      <c r="AJ41" s="318"/>
      <c r="AK41" s="643"/>
      <c r="AL41" s="318"/>
      <c r="AM41" s="318"/>
      <c r="AN41" s="318"/>
      <c r="AO41" s="318"/>
      <c r="AP41" s="318"/>
      <c r="AQ41" s="318"/>
      <c r="AR41" s="318"/>
      <c r="AS41" s="643"/>
    </row>
    <row r="42" spans="1:45">
      <c r="A42" s="407"/>
      <c r="B42" s="1437" t="s">
        <v>618</v>
      </c>
      <c r="C42" s="1438"/>
      <c r="D42" s="1460" t="s">
        <v>619</v>
      </c>
      <c r="E42" s="1460"/>
      <c r="F42" s="1460"/>
      <c r="G42" s="1461"/>
      <c r="H42" s="933" t="s">
        <v>122</v>
      </c>
      <c r="I42" s="757" t="s">
        <v>122</v>
      </c>
      <c r="J42" s="757" t="s">
        <v>122</v>
      </c>
      <c r="K42" s="1430" t="s">
        <v>606</v>
      </c>
      <c r="L42" s="1431"/>
      <c r="M42" s="1428" t="s">
        <v>607</v>
      </c>
      <c r="N42" s="1428"/>
      <c r="O42" s="1432" t="s">
        <v>606</v>
      </c>
      <c r="P42" s="1433"/>
      <c r="Q42" s="1434"/>
      <c r="R42" s="907"/>
      <c r="S42" s="979"/>
      <c r="T42" s="978"/>
      <c r="U42" s="978"/>
      <c r="V42" s="978"/>
      <c r="W42" s="978"/>
      <c r="X42" s="978"/>
      <c r="Y42" s="978"/>
      <c r="Z42" s="978"/>
      <c r="AA42" s="978"/>
      <c r="AB42" s="978"/>
      <c r="AC42" s="978"/>
      <c r="AD42" s="978"/>
      <c r="AE42" s="978"/>
      <c r="AF42" s="978"/>
      <c r="AG42" s="978"/>
      <c r="AH42" s="978"/>
      <c r="AI42" s="978"/>
      <c r="AJ42" s="318"/>
      <c r="AK42" s="643"/>
      <c r="AL42" s="318"/>
      <c r="AM42" s="318"/>
      <c r="AN42" s="318"/>
      <c r="AO42" s="318"/>
      <c r="AP42" s="318"/>
      <c r="AQ42" s="318"/>
      <c r="AR42" s="318"/>
      <c r="AS42" s="643"/>
    </row>
    <row r="43" spans="1:45">
      <c r="A43" s="407"/>
      <c r="B43" s="1439" t="s">
        <v>618</v>
      </c>
      <c r="C43" s="1440"/>
      <c r="D43" s="1462" t="s">
        <v>620</v>
      </c>
      <c r="E43" s="1462"/>
      <c r="F43" s="1462"/>
      <c r="G43" s="1463"/>
      <c r="H43" s="880" t="s">
        <v>122</v>
      </c>
      <c r="I43" s="879" t="s">
        <v>122</v>
      </c>
      <c r="J43" s="879" t="s">
        <v>122</v>
      </c>
      <c r="K43" s="1430" t="s">
        <v>606</v>
      </c>
      <c r="L43" s="1431"/>
      <c r="M43" s="1428" t="s">
        <v>607</v>
      </c>
      <c r="N43" s="1428"/>
      <c r="O43" s="1432" t="s">
        <v>606</v>
      </c>
      <c r="P43" s="1433"/>
      <c r="Q43" s="1434"/>
      <c r="R43" s="907"/>
      <c r="S43" s="979"/>
      <c r="T43" s="978"/>
      <c r="U43" s="978"/>
      <c r="V43" s="978"/>
      <c r="W43" s="978"/>
      <c r="X43" s="978"/>
      <c r="Y43" s="978"/>
      <c r="Z43" s="978"/>
      <c r="AA43" s="978"/>
      <c r="AB43" s="978"/>
      <c r="AC43" s="978"/>
      <c r="AD43" s="978"/>
      <c r="AE43" s="978"/>
      <c r="AF43" s="978"/>
      <c r="AG43" s="978"/>
      <c r="AH43" s="978"/>
      <c r="AI43" s="978"/>
      <c r="AJ43" s="318"/>
      <c r="AK43" s="643"/>
      <c r="AL43" s="318"/>
      <c r="AM43" s="318"/>
      <c r="AN43" s="318"/>
      <c r="AO43" s="318"/>
      <c r="AP43" s="318"/>
      <c r="AQ43" s="318"/>
      <c r="AR43" s="318"/>
      <c r="AS43" s="643"/>
    </row>
    <row r="44" spans="1:45">
      <c r="A44" s="407"/>
      <c r="B44" s="1452" t="s">
        <v>618</v>
      </c>
      <c r="C44" s="1453"/>
      <c r="D44" s="1464" t="s">
        <v>621</v>
      </c>
      <c r="E44" s="1464"/>
      <c r="F44" s="1464"/>
      <c r="G44" s="1465"/>
      <c r="H44" s="880" t="s">
        <v>122</v>
      </c>
      <c r="I44" s="879" t="s">
        <v>122</v>
      </c>
      <c r="J44" s="879" t="s">
        <v>122</v>
      </c>
      <c r="K44" s="1430" t="s">
        <v>606</v>
      </c>
      <c r="L44" s="1431"/>
      <c r="M44" s="1428" t="s">
        <v>607</v>
      </c>
      <c r="N44" s="1428"/>
      <c r="O44" s="1432" t="s">
        <v>606</v>
      </c>
      <c r="P44" s="1433"/>
      <c r="Q44" s="1434"/>
      <c r="R44" s="907"/>
      <c r="S44" s="979"/>
      <c r="T44" s="978"/>
      <c r="U44" s="978"/>
      <c r="V44" s="978"/>
      <c r="W44" s="978"/>
      <c r="X44" s="978"/>
      <c r="Y44" s="978"/>
      <c r="Z44" s="978"/>
      <c r="AA44" s="978"/>
      <c r="AB44" s="978"/>
      <c r="AC44" s="978"/>
      <c r="AD44" s="978"/>
      <c r="AE44" s="978"/>
      <c r="AF44" s="978"/>
      <c r="AG44" s="978"/>
      <c r="AH44" s="978"/>
      <c r="AI44" s="978"/>
      <c r="AJ44" s="318"/>
      <c r="AK44" s="643"/>
      <c r="AL44" s="318"/>
      <c r="AM44" s="318"/>
      <c r="AN44" s="318"/>
      <c r="AO44" s="318"/>
      <c r="AP44" s="318"/>
      <c r="AQ44" s="318"/>
      <c r="AR44" s="318"/>
      <c r="AS44" s="643"/>
    </row>
    <row r="45" spans="1:45">
      <c r="A45" s="407"/>
      <c r="B45" s="1439" t="s">
        <v>618</v>
      </c>
      <c r="C45" s="1440"/>
      <c r="D45" s="1462" t="s">
        <v>622</v>
      </c>
      <c r="E45" s="1462"/>
      <c r="F45" s="1462"/>
      <c r="G45" s="1463"/>
      <c r="H45" s="933" t="s">
        <v>122</v>
      </c>
      <c r="I45" s="757" t="s">
        <v>122</v>
      </c>
      <c r="J45" s="757" t="s">
        <v>122</v>
      </c>
      <c r="K45" s="1430" t="s">
        <v>606</v>
      </c>
      <c r="L45" s="1431"/>
      <c r="M45" s="1428" t="s">
        <v>607</v>
      </c>
      <c r="N45" s="1428"/>
      <c r="O45" s="1432" t="s">
        <v>606</v>
      </c>
      <c r="P45" s="1433"/>
      <c r="Q45" s="1434"/>
      <c r="R45" s="907"/>
      <c r="S45" s="979"/>
      <c r="T45" s="978"/>
      <c r="U45" s="978"/>
      <c r="V45" s="978"/>
      <c r="W45" s="978"/>
      <c r="X45" s="978"/>
      <c r="Y45" s="978"/>
      <c r="Z45" s="978"/>
      <c r="AA45" s="978"/>
      <c r="AB45" s="978"/>
      <c r="AC45" s="978"/>
      <c r="AD45" s="978"/>
      <c r="AE45" s="978"/>
      <c r="AF45" s="978"/>
      <c r="AG45" s="978"/>
      <c r="AH45" s="978"/>
      <c r="AI45" s="978"/>
      <c r="AJ45" s="318"/>
      <c r="AK45" s="643"/>
      <c r="AL45" s="318"/>
      <c r="AM45" s="318"/>
      <c r="AN45" s="318"/>
      <c r="AO45" s="318"/>
      <c r="AP45" s="318"/>
      <c r="AQ45" s="318"/>
      <c r="AR45" s="318"/>
      <c r="AS45" s="643"/>
    </row>
    <row r="46" spans="1:45">
      <c r="A46" s="407"/>
      <c r="B46" s="1439" t="s">
        <v>618</v>
      </c>
      <c r="C46" s="1440"/>
      <c r="D46" s="1462" t="s">
        <v>623</v>
      </c>
      <c r="E46" s="1462"/>
      <c r="F46" s="1462"/>
      <c r="G46" s="1463"/>
      <c r="H46" s="933" t="s">
        <v>122</v>
      </c>
      <c r="I46" s="757" t="s">
        <v>122</v>
      </c>
      <c r="J46" s="757" t="s">
        <v>122</v>
      </c>
      <c r="K46" s="1430" t="s">
        <v>606</v>
      </c>
      <c r="L46" s="1431"/>
      <c r="M46" s="1428" t="s">
        <v>607</v>
      </c>
      <c r="N46" s="1428"/>
      <c r="O46" s="1432" t="s">
        <v>606</v>
      </c>
      <c r="P46" s="1433"/>
      <c r="Q46" s="1434"/>
      <c r="R46" s="907"/>
      <c r="S46" s="979"/>
      <c r="T46" s="978"/>
      <c r="U46" s="978"/>
      <c r="V46" s="978"/>
      <c r="W46" s="978"/>
      <c r="X46" s="978"/>
      <c r="Y46" s="978"/>
      <c r="Z46" s="978"/>
      <c r="AA46" s="978"/>
      <c r="AB46" s="978"/>
      <c r="AC46" s="978"/>
      <c r="AD46" s="978"/>
      <c r="AE46" s="978"/>
      <c r="AF46" s="978"/>
      <c r="AG46" s="978"/>
      <c r="AH46" s="978"/>
      <c r="AI46" s="978"/>
      <c r="AJ46" s="318"/>
      <c r="AK46" s="643"/>
      <c r="AL46" s="318"/>
      <c r="AM46" s="318"/>
      <c r="AN46" s="318"/>
      <c r="AO46" s="318"/>
      <c r="AP46" s="318"/>
      <c r="AQ46" s="318"/>
      <c r="AR46" s="318"/>
      <c r="AS46" s="643"/>
    </row>
    <row r="47" spans="1:45">
      <c r="A47" s="407"/>
      <c r="B47" s="1435" t="s">
        <v>618</v>
      </c>
      <c r="C47" s="1436"/>
      <c r="D47" s="1466" t="s">
        <v>624</v>
      </c>
      <c r="E47" s="1466"/>
      <c r="F47" s="1466"/>
      <c r="G47" s="1467"/>
      <c r="H47" s="933" t="s">
        <v>122</v>
      </c>
      <c r="I47" s="757" t="s">
        <v>122</v>
      </c>
      <c r="J47" s="757" t="s">
        <v>122</v>
      </c>
      <c r="K47" s="1430" t="s">
        <v>606</v>
      </c>
      <c r="L47" s="1431"/>
      <c r="M47" s="1428" t="s">
        <v>607</v>
      </c>
      <c r="N47" s="1428"/>
      <c r="O47" s="1432" t="s">
        <v>606</v>
      </c>
      <c r="P47" s="1433"/>
      <c r="Q47" s="1434"/>
      <c r="R47" s="907"/>
      <c r="S47" s="979"/>
      <c r="T47" s="978"/>
      <c r="U47" s="978"/>
      <c r="V47" s="978"/>
      <c r="W47" s="978"/>
      <c r="X47" s="978"/>
      <c r="Y47" s="978"/>
      <c r="Z47" s="978"/>
      <c r="AA47" s="978"/>
      <c r="AB47" s="978"/>
      <c r="AC47" s="978"/>
      <c r="AD47" s="978"/>
      <c r="AE47" s="978"/>
      <c r="AF47" s="978"/>
      <c r="AG47" s="978"/>
      <c r="AH47" s="978"/>
      <c r="AI47" s="978"/>
      <c r="AJ47" s="318"/>
      <c r="AK47" s="643"/>
      <c r="AL47" s="318"/>
      <c r="AM47" s="318"/>
      <c r="AN47" s="318"/>
      <c r="AO47" s="318"/>
      <c r="AP47" s="318"/>
      <c r="AQ47" s="318"/>
      <c r="AR47" s="318"/>
      <c r="AS47" s="643"/>
    </row>
    <row r="48" spans="1:45">
      <c r="A48" s="407"/>
      <c r="B48" s="930" t="s">
        <v>625</v>
      </c>
      <c r="C48" s="931"/>
      <c r="D48" s="931" t="s">
        <v>626</v>
      </c>
      <c r="E48" s="931"/>
      <c r="F48" s="931"/>
      <c r="G48" s="932"/>
      <c r="H48" s="1441" t="s">
        <v>122</v>
      </c>
      <c r="I48" s="1442"/>
      <c r="J48" s="1443"/>
      <c r="K48" s="1428" t="s">
        <v>607</v>
      </c>
      <c r="L48" s="1428"/>
      <c r="M48" s="1428" t="s">
        <v>607</v>
      </c>
      <c r="N48" s="1428"/>
      <c r="O48" s="1429" t="s">
        <v>607</v>
      </c>
      <c r="P48" s="1429"/>
      <c r="Q48" s="1429"/>
      <c r="R48" s="907"/>
      <c r="S48" s="318"/>
      <c r="T48" s="318"/>
      <c r="U48" s="318"/>
      <c r="V48" s="318"/>
      <c r="W48" s="318"/>
      <c r="X48" s="318"/>
      <c r="Y48" s="318"/>
      <c r="Z48" s="318"/>
      <c r="AA48" s="318"/>
      <c r="AB48" s="318"/>
      <c r="AC48" s="318"/>
      <c r="AD48" s="318"/>
      <c r="AE48" s="318"/>
      <c r="AF48" s="318"/>
      <c r="AG48" s="318"/>
      <c r="AH48" s="318"/>
      <c r="AI48" s="318"/>
      <c r="AJ48" s="318"/>
      <c r="AK48" s="643"/>
      <c r="AL48" s="318"/>
      <c r="AM48" s="318"/>
      <c r="AN48" s="318"/>
      <c r="AO48" s="318"/>
      <c r="AP48" s="318"/>
      <c r="AQ48" s="318"/>
      <c r="AR48" s="318"/>
      <c r="AS48" s="643"/>
    </row>
    <row r="49" spans="1:45">
      <c r="A49" s="407"/>
      <c r="B49" s="989" t="s">
        <v>627</v>
      </c>
      <c r="C49" s="931"/>
      <c r="D49" s="931" t="s">
        <v>628</v>
      </c>
      <c r="E49" s="931"/>
      <c r="F49" s="931"/>
      <c r="G49" s="932"/>
      <c r="H49" s="1441" t="s">
        <v>122</v>
      </c>
      <c r="I49" s="1442"/>
      <c r="J49" s="1443"/>
      <c r="K49" s="1430" t="s">
        <v>606</v>
      </c>
      <c r="L49" s="1431"/>
      <c r="M49" s="1428" t="s">
        <v>607</v>
      </c>
      <c r="N49" s="1428"/>
      <c r="O49" s="1429" t="s">
        <v>607</v>
      </c>
      <c r="P49" s="1429"/>
      <c r="Q49" s="1429"/>
      <c r="R49" s="907"/>
      <c r="S49" s="318"/>
      <c r="T49" s="318"/>
      <c r="U49" s="318"/>
      <c r="V49" s="318"/>
      <c r="W49" s="318"/>
      <c r="X49" s="318"/>
      <c r="Y49" s="318"/>
      <c r="Z49" s="318"/>
      <c r="AA49" s="318"/>
      <c r="AB49" s="318"/>
      <c r="AC49" s="318"/>
      <c r="AD49" s="318"/>
      <c r="AE49" s="318"/>
      <c r="AF49" s="318"/>
      <c r="AG49" s="318"/>
      <c r="AH49" s="318"/>
      <c r="AI49" s="318"/>
      <c r="AJ49" s="318"/>
      <c r="AK49" s="643"/>
      <c r="AL49" s="318"/>
      <c r="AM49" s="318"/>
      <c r="AN49" s="318"/>
      <c r="AO49" s="318"/>
      <c r="AP49" s="318"/>
      <c r="AQ49" s="318"/>
      <c r="AR49" s="318"/>
      <c r="AS49" s="643"/>
    </row>
    <row r="50" spans="1:45">
      <c r="A50" s="407"/>
      <c r="B50" s="930" t="s">
        <v>629</v>
      </c>
      <c r="C50" s="931"/>
      <c r="D50" s="931" t="s">
        <v>630</v>
      </c>
      <c r="E50" s="931"/>
      <c r="F50" s="931"/>
      <c r="G50" s="932"/>
      <c r="H50" s="1441" t="s">
        <v>122</v>
      </c>
      <c r="I50" s="1442"/>
      <c r="J50" s="1443"/>
      <c r="K50" s="1430" t="s">
        <v>606</v>
      </c>
      <c r="L50" s="1431"/>
      <c r="M50" s="1428" t="s">
        <v>607</v>
      </c>
      <c r="N50" s="1428"/>
      <c r="O50" s="1429" t="s">
        <v>607</v>
      </c>
      <c r="P50" s="1429"/>
      <c r="Q50" s="1429"/>
      <c r="R50" s="907"/>
      <c r="S50" s="318"/>
      <c r="T50" s="318"/>
      <c r="U50" s="318"/>
      <c r="V50" s="318"/>
      <c r="W50" s="318"/>
      <c r="X50" s="318"/>
      <c r="Y50" s="318"/>
      <c r="Z50" s="318"/>
      <c r="AA50" s="318"/>
      <c r="AB50" s="318"/>
      <c r="AC50" s="318"/>
      <c r="AD50" s="318"/>
      <c r="AE50" s="318"/>
      <c r="AF50" s="318"/>
      <c r="AG50" s="318"/>
      <c r="AH50" s="318"/>
      <c r="AI50" s="318"/>
      <c r="AJ50" s="318"/>
      <c r="AK50" s="643"/>
      <c r="AL50" s="318"/>
      <c r="AM50" s="318"/>
      <c r="AN50" s="318"/>
      <c r="AO50" s="318"/>
      <c r="AP50" s="318"/>
      <c r="AQ50" s="318"/>
      <c r="AR50" s="318"/>
      <c r="AS50" s="643"/>
    </row>
    <row r="51" spans="1:45">
      <c r="A51" s="407"/>
      <c r="B51" s="930" t="s">
        <v>631</v>
      </c>
      <c r="C51" s="931"/>
      <c r="D51" s="931" t="s">
        <v>632</v>
      </c>
      <c r="E51" s="931"/>
      <c r="F51" s="931"/>
      <c r="G51" s="932"/>
      <c r="H51" s="1441" t="s">
        <v>122</v>
      </c>
      <c r="I51" s="1442"/>
      <c r="J51" s="1443"/>
      <c r="K51" s="1428" t="s">
        <v>607</v>
      </c>
      <c r="L51" s="1428"/>
      <c r="M51" s="1428" t="s">
        <v>607</v>
      </c>
      <c r="N51" s="1428"/>
      <c r="O51" s="1429" t="s">
        <v>607</v>
      </c>
      <c r="P51" s="1429"/>
      <c r="Q51" s="1429"/>
      <c r="R51" s="907"/>
      <c r="S51" s="318"/>
      <c r="T51" s="318"/>
      <c r="U51" s="318"/>
      <c r="V51" s="318"/>
      <c r="W51" s="318"/>
      <c r="X51" s="318"/>
      <c r="Y51" s="318"/>
      <c r="Z51" s="318"/>
      <c r="AA51" s="318"/>
      <c r="AB51" s="318"/>
      <c r="AC51" s="318"/>
      <c r="AD51" s="318"/>
      <c r="AE51" s="318"/>
      <c r="AF51" s="318"/>
      <c r="AG51" s="318"/>
      <c r="AH51" s="318"/>
      <c r="AI51" s="318"/>
      <c r="AJ51" s="318"/>
      <c r="AK51" s="643"/>
      <c r="AL51" s="318"/>
      <c r="AM51" s="318"/>
      <c r="AN51" s="318"/>
      <c r="AO51" s="318"/>
      <c r="AP51" s="318"/>
      <c r="AQ51" s="318"/>
      <c r="AR51" s="318"/>
      <c r="AS51" s="643"/>
    </row>
    <row r="52" spans="1:45">
      <c r="A52" s="407"/>
      <c r="B52" s="930" t="s">
        <v>633</v>
      </c>
      <c r="C52" s="931"/>
      <c r="D52" s="931" t="s">
        <v>634</v>
      </c>
      <c r="E52" s="931"/>
      <c r="F52" s="931"/>
      <c r="G52" s="932"/>
      <c r="H52" s="1441" t="s">
        <v>122</v>
      </c>
      <c r="I52" s="1442"/>
      <c r="J52" s="1443"/>
      <c r="K52" s="1430" t="s">
        <v>606</v>
      </c>
      <c r="L52" s="1431"/>
      <c r="M52" s="1428" t="s">
        <v>607</v>
      </c>
      <c r="N52" s="1428"/>
      <c r="O52" s="1429" t="s">
        <v>607</v>
      </c>
      <c r="P52" s="1429"/>
      <c r="Q52" s="1429"/>
      <c r="R52" s="907"/>
      <c r="S52" s="318"/>
      <c r="T52" s="318"/>
      <c r="U52" s="318"/>
      <c r="V52" s="318"/>
      <c r="W52" s="318"/>
      <c r="X52" s="318"/>
      <c r="Y52" s="318"/>
      <c r="Z52" s="318"/>
      <c r="AA52" s="318"/>
      <c r="AB52" s="318"/>
      <c r="AC52" s="318"/>
      <c r="AD52" s="318"/>
      <c r="AE52" s="318"/>
      <c r="AF52" s="318"/>
      <c r="AG52" s="318"/>
      <c r="AH52" s="318"/>
      <c r="AI52" s="318"/>
      <c r="AJ52" s="318"/>
      <c r="AK52" s="643"/>
      <c r="AL52" s="318"/>
      <c r="AM52" s="318"/>
      <c r="AN52" s="318"/>
      <c r="AO52" s="318"/>
      <c r="AP52" s="318"/>
      <c r="AQ52" s="318"/>
      <c r="AR52" s="318"/>
      <c r="AS52" s="643"/>
    </row>
    <row r="53" spans="1:45">
      <c r="A53" s="407"/>
      <c r="B53" s="930" t="s">
        <v>635</v>
      </c>
      <c r="C53" s="931"/>
      <c r="D53" s="931" t="s">
        <v>636</v>
      </c>
      <c r="E53" s="931"/>
      <c r="F53" s="931"/>
      <c r="G53" s="932"/>
      <c r="H53" s="1441" t="s">
        <v>122</v>
      </c>
      <c r="I53" s="1442"/>
      <c r="J53" s="1443"/>
      <c r="K53" s="1428" t="s">
        <v>607</v>
      </c>
      <c r="L53" s="1428"/>
      <c r="M53" s="1430" t="s">
        <v>606</v>
      </c>
      <c r="N53" s="1431"/>
      <c r="O53" s="1432" t="s">
        <v>606</v>
      </c>
      <c r="P53" s="1433"/>
      <c r="Q53" s="1434"/>
      <c r="R53" s="907"/>
      <c r="S53" s="318"/>
      <c r="T53" s="318"/>
      <c r="U53" s="318"/>
      <c r="V53" s="318"/>
      <c r="W53" s="318"/>
      <c r="X53" s="318"/>
      <c r="Y53" s="318"/>
      <c r="Z53" s="318"/>
      <c r="AA53" s="318"/>
      <c r="AB53" s="318"/>
      <c r="AC53" s="318"/>
      <c r="AD53" s="318"/>
      <c r="AE53" s="318"/>
      <c r="AF53" s="318"/>
      <c r="AG53" s="318"/>
      <c r="AH53" s="318"/>
      <c r="AI53" s="318"/>
      <c r="AJ53" s="318"/>
      <c r="AK53" s="643"/>
      <c r="AL53" s="318"/>
      <c r="AM53" s="318"/>
      <c r="AN53" s="318"/>
      <c r="AO53" s="318"/>
      <c r="AP53" s="318"/>
      <c r="AQ53" s="318"/>
      <c r="AR53" s="318"/>
      <c r="AS53" s="643"/>
    </row>
    <row r="54" spans="1:45">
      <c r="A54" s="407"/>
      <c r="B54" s="901"/>
      <c r="C54" s="901"/>
      <c r="D54" s="901"/>
      <c r="E54" s="902"/>
      <c r="F54" s="902"/>
      <c r="G54" s="902"/>
      <c r="H54" s="902"/>
      <c r="I54" s="902"/>
      <c r="J54" s="902"/>
      <c r="K54" s="309"/>
      <c r="L54" s="309"/>
      <c r="M54" s="309"/>
      <c r="N54" s="309"/>
      <c r="O54" s="309"/>
      <c r="P54" s="309"/>
      <c r="Q54" s="309"/>
      <c r="R54" s="907"/>
      <c r="S54" s="318"/>
      <c r="T54" s="318"/>
      <c r="U54" s="318"/>
      <c r="V54" s="318"/>
      <c r="W54" s="318"/>
      <c r="X54" s="318"/>
      <c r="Y54" s="318"/>
      <c r="Z54" s="318"/>
      <c r="AA54" s="318"/>
      <c r="AB54" s="318"/>
      <c r="AC54" s="318"/>
      <c r="AD54" s="318"/>
      <c r="AE54" s="318"/>
      <c r="AF54" s="318"/>
      <c r="AG54" s="318"/>
      <c r="AH54" s="318"/>
      <c r="AI54" s="318"/>
      <c r="AJ54" s="318"/>
      <c r="AK54" s="643"/>
      <c r="AL54" s="318"/>
      <c r="AM54" s="318"/>
      <c r="AN54" s="318"/>
      <c r="AO54" s="318"/>
      <c r="AP54" s="318"/>
      <c r="AQ54" s="318"/>
      <c r="AR54" s="318"/>
      <c r="AS54" s="643"/>
    </row>
    <row r="55" spans="1:45" ht="12.75" customHeight="1">
      <c r="A55" s="407"/>
      <c r="B55" s="1396" t="s">
        <v>637</v>
      </c>
      <c r="C55" s="1397"/>
      <c r="D55" s="1398"/>
      <c r="E55" s="1396"/>
      <c r="F55" s="1397"/>
      <c r="G55" s="1398"/>
      <c r="H55" s="1454" t="str">
        <f>IF(COUNTIF($H$36:$J$53,"No")=0,"Compliance shown","No compliance shown")</f>
        <v>No compliance shown</v>
      </c>
      <c r="I55" s="1455"/>
      <c r="J55" s="1456"/>
      <c r="R55" s="907"/>
      <c r="S55" s="318"/>
      <c r="T55" s="318"/>
      <c r="U55" s="318"/>
      <c r="V55" s="318"/>
      <c r="W55" s="318"/>
      <c r="X55" s="318"/>
      <c r="Y55" s="318"/>
      <c r="Z55" s="318"/>
      <c r="AA55" s="318"/>
      <c r="AB55" s="318"/>
      <c r="AC55" s="318"/>
      <c r="AD55" s="318"/>
      <c r="AE55" s="318"/>
      <c r="AF55" s="318"/>
      <c r="AG55" s="318"/>
      <c r="AH55" s="318"/>
      <c r="AI55" s="318"/>
      <c r="AJ55" s="318"/>
      <c r="AK55" s="643"/>
      <c r="AL55" s="318"/>
      <c r="AM55" s="318"/>
      <c r="AN55" s="318"/>
      <c r="AO55" s="318"/>
      <c r="AP55" s="318"/>
      <c r="AQ55" s="318"/>
      <c r="AR55" s="318"/>
      <c r="AS55" s="643"/>
    </row>
    <row r="56" spans="1:45">
      <c r="A56" s="407"/>
      <c r="B56" s="1399"/>
      <c r="C56" s="1400"/>
      <c r="D56" s="1401"/>
      <c r="E56" s="1399"/>
      <c r="F56" s="1400"/>
      <c r="G56" s="1401"/>
      <c r="H56" s="1457"/>
      <c r="I56" s="1458"/>
      <c r="J56" s="1459"/>
      <c r="K56" s="409"/>
      <c r="L56" s="409"/>
      <c r="M56" s="847" t="s">
        <v>219</v>
      </c>
      <c r="N56" s="409"/>
      <c r="O56" s="409"/>
      <c r="P56" s="409"/>
      <c r="Q56" s="409"/>
      <c r="R56" s="907"/>
      <c r="S56" s="318"/>
      <c r="T56" s="318"/>
      <c r="U56" s="318"/>
      <c r="V56" s="318"/>
      <c r="W56" s="318"/>
      <c r="X56" s="318"/>
      <c r="Y56" s="318"/>
      <c r="Z56" s="318"/>
      <c r="AA56" s="318"/>
      <c r="AB56" s="318"/>
      <c r="AC56" s="318"/>
      <c r="AD56" s="318"/>
      <c r="AE56" s="318"/>
      <c r="AF56" s="318"/>
      <c r="AG56" s="318"/>
      <c r="AH56" s="318"/>
      <c r="AI56" s="318"/>
      <c r="AJ56" s="318"/>
      <c r="AK56" s="643"/>
      <c r="AL56" s="318"/>
      <c r="AM56" s="318"/>
      <c r="AN56" s="318"/>
      <c r="AO56" s="318"/>
      <c r="AP56" s="318"/>
      <c r="AQ56" s="318"/>
      <c r="AR56" s="318"/>
      <c r="AS56" s="643"/>
    </row>
    <row r="57" spans="1:45">
      <c r="A57" s="407"/>
      <c r="C57" s="409"/>
      <c r="D57" s="409"/>
      <c r="E57" s="409"/>
      <c r="F57" s="409"/>
      <c r="G57" s="409"/>
      <c r="H57" s="409"/>
      <c r="I57" s="409"/>
      <c r="J57" s="409"/>
      <c r="K57" s="409"/>
      <c r="L57" s="409"/>
      <c r="M57" s="409"/>
      <c r="N57" s="409"/>
      <c r="O57" s="409"/>
      <c r="P57" s="409"/>
      <c r="Q57" s="409"/>
      <c r="R57" s="907"/>
      <c r="S57" s="318"/>
      <c r="T57" s="318"/>
      <c r="U57" s="318"/>
      <c r="V57" s="318"/>
      <c r="W57" s="318"/>
      <c r="X57" s="318"/>
      <c r="Y57" s="318"/>
      <c r="Z57" s="318"/>
      <c r="AA57" s="318"/>
      <c r="AB57" s="318"/>
      <c r="AC57" s="318"/>
      <c r="AD57" s="318"/>
      <c r="AE57" s="318"/>
      <c r="AF57" s="318"/>
      <c r="AG57" s="318"/>
      <c r="AH57" s="318"/>
      <c r="AI57" s="318"/>
      <c r="AJ57" s="318"/>
      <c r="AK57" s="643"/>
      <c r="AL57" s="318"/>
      <c r="AM57" s="318"/>
      <c r="AN57" s="318"/>
      <c r="AO57" s="318"/>
      <c r="AP57" s="318"/>
      <c r="AQ57" s="318"/>
      <c r="AR57" s="318"/>
      <c r="AS57" s="643"/>
    </row>
    <row r="58" spans="1:45">
      <c r="A58" s="407"/>
      <c r="B58" s="408" t="s">
        <v>638</v>
      </c>
      <c r="C58" s="409"/>
      <c r="D58" s="409"/>
      <c r="E58" s="409"/>
      <c r="F58" s="409"/>
      <c r="G58" s="409"/>
      <c r="H58" s="409"/>
      <c r="I58" s="409"/>
      <c r="J58" s="409"/>
      <c r="K58" s="409"/>
      <c r="L58" s="409"/>
      <c r="M58" s="409"/>
      <c r="N58" s="409"/>
      <c r="O58" s="409"/>
      <c r="P58" s="409"/>
      <c r="Q58" s="409"/>
      <c r="R58" s="907"/>
      <c r="S58" s="318"/>
      <c r="T58" s="318"/>
      <c r="U58" s="318"/>
      <c r="V58" s="318"/>
      <c r="W58" s="318"/>
      <c r="X58" s="318"/>
      <c r="Y58" s="318"/>
      <c r="Z58" s="318"/>
      <c r="AA58" s="318"/>
      <c r="AB58" s="318"/>
      <c r="AC58" s="318"/>
      <c r="AD58" s="318"/>
      <c r="AE58" s="318"/>
      <c r="AF58" s="318"/>
      <c r="AG58" s="318"/>
      <c r="AH58" s="318"/>
      <c r="AI58" s="318"/>
      <c r="AJ58" s="318"/>
      <c r="AK58" s="643"/>
      <c r="AL58" s="318"/>
      <c r="AM58" s="318"/>
      <c r="AN58" s="318"/>
      <c r="AO58" s="318"/>
      <c r="AP58" s="318"/>
      <c r="AQ58" s="318"/>
      <c r="AR58" s="318"/>
      <c r="AS58" s="643"/>
    </row>
    <row r="59" spans="1:45">
      <c r="A59" s="407"/>
      <c r="B59" s="408"/>
      <c r="C59" s="409"/>
      <c r="D59" s="409"/>
      <c r="E59" s="409"/>
      <c r="F59" s="409"/>
      <c r="G59" s="409"/>
      <c r="H59" s="409"/>
      <c r="I59" s="409"/>
      <c r="J59" s="409"/>
      <c r="K59" s="409"/>
      <c r="L59" s="409"/>
      <c r="M59" s="409"/>
      <c r="N59" s="409"/>
      <c r="O59" s="409"/>
      <c r="P59" s="409"/>
      <c r="Q59" s="409"/>
      <c r="R59" s="907"/>
      <c r="S59" s="318"/>
      <c r="T59" s="318"/>
      <c r="U59" s="318"/>
      <c r="V59" s="318"/>
      <c r="W59" s="318"/>
      <c r="X59" s="318"/>
      <c r="Y59" s="318"/>
      <c r="Z59" s="318"/>
      <c r="AA59" s="318"/>
      <c r="AB59" s="318"/>
      <c r="AC59" s="318"/>
      <c r="AD59" s="318"/>
      <c r="AE59" s="318"/>
      <c r="AF59" s="318"/>
      <c r="AG59" s="318"/>
      <c r="AH59" s="318"/>
      <c r="AI59" s="318"/>
      <c r="AJ59" s="318"/>
      <c r="AK59" s="643"/>
      <c r="AL59" s="318"/>
      <c r="AM59" s="318"/>
      <c r="AN59" s="318"/>
      <c r="AO59" s="318"/>
      <c r="AP59" s="318"/>
      <c r="AQ59" s="318"/>
      <c r="AR59" s="318"/>
      <c r="AS59" s="643"/>
    </row>
    <row r="60" spans="1:45">
      <c r="A60" s="1390" t="s">
        <v>639</v>
      </c>
      <c r="B60" s="1391"/>
      <c r="C60" s="1391"/>
      <c r="D60" s="1391"/>
      <c r="E60" s="1391"/>
      <c r="F60" s="1391"/>
      <c r="G60" s="1391"/>
      <c r="H60" s="1391"/>
      <c r="I60" s="1391"/>
      <c r="J60" s="1391"/>
      <c r="K60" s="1391"/>
      <c r="L60" s="1391"/>
      <c r="M60" s="1391"/>
      <c r="N60" s="1391"/>
      <c r="O60" s="1391"/>
      <c r="P60" s="1391"/>
      <c r="Q60" s="1391"/>
      <c r="R60" s="1392"/>
      <c r="S60" s="318"/>
      <c r="T60" s="318"/>
      <c r="U60" s="318"/>
      <c r="V60" s="318"/>
      <c r="W60" s="318"/>
      <c r="X60" s="318"/>
      <c r="Y60" s="318"/>
      <c r="Z60" s="318"/>
      <c r="AA60" s="318"/>
      <c r="AB60" s="318"/>
      <c r="AC60" s="318"/>
      <c r="AD60" s="318"/>
      <c r="AE60" s="318"/>
      <c r="AF60" s="318"/>
      <c r="AG60" s="318"/>
      <c r="AH60" s="318"/>
      <c r="AI60" s="318"/>
      <c r="AJ60" s="318"/>
      <c r="AK60" s="643"/>
      <c r="AL60" s="318"/>
      <c r="AM60" s="318"/>
      <c r="AN60" s="318"/>
      <c r="AO60" s="318"/>
      <c r="AP60" s="318"/>
      <c r="AQ60" s="318"/>
      <c r="AR60" s="318"/>
      <c r="AS60" s="643"/>
    </row>
    <row r="61" spans="1:45">
      <c r="A61" s="1393"/>
      <c r="B61" s="1394"/>
      <c r="C61" s="1394"/>
      <c r="D61" s="1394"/>
      <c r="E61" s="1394"/>
      <c r="F61" s="1394"/>
      <c r="G61" s="1394"/>
      <c r="H61" s="1394"/>
      <c r="I61" s="1394"/>
      <c r="J61" s="1394"/>
      <c r="K61" s="1394"/>
      <c r="L61" s="1394"/>
      <c r="M61" s="1394"/>
      <c r="N61" s="1394"/>
      <c r="O61" s="1394"/>
      <c r="P61" s="1394"/>
      <c r="Q61" s="1394"/>
      <c r="R61" s="1395"/>
      <c r="S61" s="318"/>
      <c r="T61" s="318"/>
      <c r="U61" s="318"/>
      <c r="V61" s="318"/>
      <c r="W61" s="318"/>
      <c r="X61" s="318"/>
      <c r="Y61" s="318"/>
      <c r="Z61" s="318"/>
      <c r="AA61" s="318"/>
      <c r="AB61" s="318"/>
      <c r="AC61" s="318"/>
      <c r="AD61" s="318"/>
      <c r="AE61" s="318"/>
      <c r="AF61" s="318"/>
      <c r="AG61" s="318"/>
      <c r="AH61" s="318"/>
      <c r="AI61" s="318"/>
      <c r="AJ61" s="318"/>
      <c r="AK61" s="643"/>
      <c r="AL61" s="318"/>
      <c r="AM61" s="318"/>
      <c r="AN61" s="318"/>
      <c r="AO61" s="318"/>
      <c r="AP61" s="318"/>
      <c r="AQ61" s="318"/>
      <c r="AR61" s="318"/>
      <c r="AS61" s="643"/>
    </row>
    <row r="62" spans="1:45" ht="12.75" customHeight="1">
      <c r="A62" s="316"/>
      <c r="B62" s="316"/>
      <c r="C62" s="316"/>
      <c r="D62" s="316"/>
      <c r="E62" s="316"/>
      <c r="F62" s="316"/>
      <c r="G62" s="316"/>
      <c r="H62" s="316"/>
      <c r="I62" s="316"/>
      <c r="J62" s="316"/>
      <c r="K62" s="316"/>
      <c r="L62" s="316"/>
      <c r="M62" s="316"/>
      <c r="N62" s="316"/>
      <c r="O62" s="316"/>
      <c r="P62" s="316"/>
      <c r="Q62" s="316"/>
      <c r="R62" s="662"/>
      <c r="S62" s="318"/>
      <c r="T62" s="318"/>
      <c r="U62" s="318"/>
      <c r="V62" s="318"/>
      <c r="W62" s="318"/>
      <c r="X62" s="318"/>
      <c r="Y62" s="318"/>
      <c r="Z62" s="318"/>
      <c r="AA62" s="318"/>
      <c r="AB62" s="318"/>
      <c r="AC62" s="318"/>
      <c r="AD62" s="318"/>
      <c r="AE62" s="318"/>
      <c r="AF62" s="318"/>
      <c r="AG62" s="318"/>
      <c r="AH62" s="318"/>
      <c r="AI62" s="318"/>
      <c r="AJ62" s="318"/>
      <c r="AK62" s="643"/>
      <c r="AL62" s="318"/>
      <c r="AM62" s="318"/>
      <c r="AN62" s="318"/>
      <c r="AO62" s="318"/>
      <c r="AP62" s="318"/>
      <c r="AQ62" s="318"/>
      <c r="AR62" s="318"/>
      <c r="AS62" s="643"/>
    </row>
    <row r="63" spans="1:45">
      <c r="A63" s="316"/>
      <c r="B63" s="316"/>
      <c r="C63" s="316"/>
      <c r="D63" s="316"/>
      <c r="E63" s="316"/>
      <c r="F63" s="316"/>
      <c r="G63" s="316"/>
      <c r="H63" s="316"/>
      <c r="I63" s="316"/>
      <c r="J63" s="316"/>
      <c r="K63" s="316"/>
      <c r="L63" s="316"/>
      <c r="M63" s="316"/>
      <c r="N63" s="316"/>
      <c r="O63" s="316"/>
      <c r="P63" s="316"/>
      <c r="Q63" s="316"/>
      <c r="R63" s="662"/>
      <c r="S63" s="26"/>
      <c r="T63" s="26"/>
      <c r="U63" s="26"/>
      <c r="V63" s="26"/>
      <c r="W63" s="26"/>
      <c r="X63" s="26"/>
      <c r="Y63" s="26"/>
      <c r="Z63" s="26"/>
      <c r="AA63" s="26"/>
      <c r="AB63" s="26"/>
      <c r="AC63" s="26"/>
      <c r="AD63" s="26"/>
      <c r="AE63" s="26"/>
      <c r="AF63" s="26"/>
      <c r="AG63" s="26"/>
      <c r="AH63" s="26"/>
      <c r="AI63" s="26"/>
      <c r="AJ63" s="26"/>
      <c r="AK63" s="638"/>
      <c r="AL63" s="318"/>
      <c r="AM63" s="318"/>
      <c r="AN63" s="318"/>
      <c r="AO63" s="318"/>
      <c r="AP63" s="318"/>
      <c r="AQ63" s="318"/>
      <c r="AR63" s="318"/>
      <c r="AS63" s="643"/>
    </row>
    <row r="64" spans="1:45">
      <c r="A64" s="970"/>
      <c r="B64" s="974"/>
      <c r="C64" s="974"/>
      <c r="D64" s="974"/>
      <c r="E64" s="974"/>
      <c r="F64" s="974"/>
      <c r="G64" s="974"/>
      <c r="H64" s="974"/>
      <c r="I64" s="974"/>
      <c r="J64" s="974"/>
      <c r="K64" s="974"/>
      <c r="L64" s="974"/>
      <c r="M64" s="974"/>
      <c r="N64" s="974"/>
      <c r="O64" s="974"/>
      <c r="P64" s="974"/>
      <c r="Q64" s="974"/>
      <c r="R64" s="971"/>
      <c r="S64" s="26"/>
      <c r="T64" s="26"/>
      <c r="U64" s="26"/>
      <c r="V64" s="26"/>
      <c r="W64" s="26"/>
      <c r="X64" s="26"/>
      <c r="Y64" s="26"/>
      <c r="Z64" s="26"/>
      <c r="AA64" s="26"/>
      <c r="AB64" s="26"/>
      <c r="AC64" s="26"/>
      <c r="AD64" s="26"/>
      <c r="AE64" s="26"/>
      <c r="AF64" s="26"/>
      <c r="AG64" s="26"/>
      <c r="AH64" s="26"/>
      <c r="AI64" s="26"/>
      <c r="AJ64" s="26"/>
      <c r="AK64" s="638"/>
      <c r="AL64" s="318"/>
      <c r="AM64" s="318"/>
      <c r="AN64" s="318"/>
      <c r="AO64" s="318"/>
      <c r="AP64" s="318"/>
      <c r="AQ64" s="318"/>
      <c r="AR64" s="318"/>
      <c r="AS64" s="643"/>
    </row>
    <row r="65" spans="1:45">
      <c r="A65" s="972"/>
      <c r="B65" s="975"/>
      <c r="C65" s="975"/>
      <c r="D65" s="975"/>
      <c r="E65" s="975"/>
      <c r="F65" s="975"/>
      <c r="G65" s="975"/>
      <c r="H65" s="975"/>
      <c r="I65" s="975"/>
      <c r="J65" s="975"/>
      <c r="K65" s="975"/>
      <c r="L65" s="975"/>
      <c r="M65" s="975"/>
      <c r="N65" s="975"/>
      <c r="O65" s="975"/>
      <c r="P65" s="975"/>
      <c r="Q65" s="975"/>
      <c r="R65" s="973"/>
      <c r="S65" s="26"/>
      <c r="T65" s="26"/>
      <c r="U65" s="26"/>
      <c r="V65" s="26"/>
      <c r="W65" s="26"/>
      <c r="X65" s="26"/>
      <c r="Y65" s="26"/>
      <c r="Z65" s="26"/>
      <c r="AA65" s="26"/>
      <c r="AB65" s="26"/>
      <c r="AC65" s="26"/>
      <c r="AD65" s="26"/>
      <c r="AE65" s="26"/>
      <c r="AF65" s="26"/>
      <c r="AG65" s="26"/>
      <c r="AH65" s="26"/>
      <c r="AI65" s="26"/>
      <c r="AJ65" s="26"/>
      <c r="AK65" s="638"/>
      <c r="AL65" s="318"/>
      <c r="AM65" s="318"/>
      <c r="AN65" s="318"/>
      <c r="AO65" s="318"/>
      <c r="AP65" s="318"/>
      <c r="AQ65" s="318"/>
      <c r="AR65" s="318"/>
      <c r="AS65" s="643"/>
    </row>
    <row r="66" spans="1:45">
      <c r="A66" s="168"/>
      <c r="B66" s="976"/>
      <c r="C66" s="976"/>
      <c r="D66" s="976"/>
      <c r="E66" s="976"/>
      <c r="F66" s="976"/>
      <c r="G66" s="976"/>
      <c r="H66" s="976"/>
      <c r="I66" s="976"/>
      <c r="J66" s="976"/>
      <c r="K66" s="976"/>
      <c r="L66" s="976"/>
      <c r="M66" s="976"/>
      <c r="N66" s="976"/>
      <c r="O66" s="976"/>
      <c r="P66" s="976"/>
      <c r="Q66" s="976"/>
      <c r="R66" s="848"/>
      <c r="S66" s="26"/>
      <c r="T66" s="26"/>
      <c r="U66" s="26"/>
      <c r="V66" s="26"/>
      <c r="W66" s="26"/>
      <c r="X66" s="26"/>
      <c r="Y66" s="26"/>
      <c r="Z66" s="26"/>
      <c r="AA66" s="26"/>
      <c r="AB66" s="26"/>
      <c r="AC66" s="26"/>
      <c r="AD66" s="26"/>
      <c r="AE66" s="26"/>
      <c r="AF66" s="26"/>
      <c r="AG66" s="26"/>
      <c r="AH66" s="26"/>
      <c r="AI66" s="26"/>
      <c r="AJ66" s="26"/>
      <c r="AK66" s="638"/>
      <c r="AL66" s="318"/>
      <c r="AM66" s="318"/>
      <c r="AN66" s="318"/>
      <c r="AO66" s="318"/>
      <c r="AP66" s="318"/>
      <c r="AQ66" s="318"/>
      <c r="AR66" s="318"/>
      <c r="AS66" s="643"/>
    </row>
    <row r="67" spans="1:45">
      <c r="A67" s="168"/>
      <c r="B67" s="976"/>
      <c r="C67" s="976"/>
      <c r="D67" s="976"/>
      <c r="E67" s="976"/>
      <c r="F67" s="976"/>
      <c r="G67" s="976"/>
      <c r="H67" s="976"/>
      <c r="I67" s="976"/>
      <c r="J67" s="976"/>
      <c r="K67" s="976"/>
      <c r="L67" s="976"/>
      <c r="M67" s="976"/>
      <c r="N67" s="976"/>
      <c r="O67" s="976"/>
      <c r="P67" s="976"/>
      <c r="Q67" s="976"/>
      <c r="R67" s="848"/>
      <c r="S67" s="26"/>
      <c r="T67" s="26"/>
      <c r="U67" s="26"/>
      <c r="V67" s="26"/>
      <c r="W67" s="26"/>
      <c r="X67" s="26"/>
      <c r="Y67" s="26"/>
      <c r="Z67" s="26"/>
      <c r="AA67" s="26"/>
      <c r="AB67" s="26"/>
      <c r="AC67" s="26"/>
      <c r="AD67" s="26"/>
      <c r="AE67" s="26"/>
      <c r="AF67" s="26"/>
      <c r="AG67" s="26"/>
      <c r="AH67" s="26"/>
      <c r="AI67" s="26"/>
      <c r="AJ67" s="26"/>
      <c r="AK67" s="638"/>
      <c r="AL67" s="318"/>
      <c r="AM67" s="318"/>
      <c r="AN67" s="318"/>
      <c r="AO67" s="318"/>
      <c r="AP67" s="318"/>
      <c r="AQ67" s="318"/>
      <c r="AR67" s="318"/>
      <c r="AS67" s="643"/>
    </row>
    <row r="68" spans="1:45">
      <c r="A68" s="168"/>
      <c r="B68" s="976"/>
      <c r="C68" s="976"/>
      <c r="D68" s="976"/>
      <c r="E68" s="976"/>
      <c r="F68" s="976"/>
      <c r="G68" s="976"/>
      <c r="H68" s="976"/>
      <c r="I68" s="976"/>
      <c r="J68" s="976"/>
      <c r="K68" s="976"/>
      <c r="L68" s="976"/>
      <c r="M68" s="976"/>
      <c r="N68" s="976"/>
      <c r="O68" s="976"/>
      <c r="P68" s="976"/>
      <c r="Q68" s="976"/>
      <c r="R68" s="848"/>
      <c r="S68" s="26"/>
      <c r="T68" s="26"/>
      <c r="U68" s="26"/>
      <c r="V68" s="26"/>
      <c r="W68" s="26"/>
      <c r="X68" s="26"/>
      <c r="Y68" s="26"/>
      <c r="Z68" s="26"/>
      <c r="AA68" s="26"/>
      <c r="AB68" s="26"/>
      <c r="AC68" s="26"/>
      <c r="AD68" s="26"/>
      <c r="AE68" s="26"/>
      <c r="AF68" s="26"/>
      <c r="AG68" s="26"/>
      <c r="AH68" s="26"/>
      <c r="AI68" s="26"/>
      <c r="AJ68" s="26"/>
      <c r="AK68" s="638"/>
      <c r="AL68" s="318"/>
      <c r="AM68" s="318"/>
      <c r="AN68" s="318"/>
      <c r="AO68" s="318"/>
      <c r="AP68" s="318"/>
      <c r="AQ68" s="318"/>
      <c r="AR68" s="318"/>
      <c r="AS68" s="643"/>
    </row>
    <row r="69" spans="1:45">
      <c r="A69" s="168"/>
      <c r="B69" s="976"/>
      <c r="C69" s="976"/>
      <c r="D69" s="976"/>
      <c r="E69" s="976"/>
      <c r="F69" s="976"/>
      <c r="G69" s="976"/>
      <c r="H69" s="976"/>
      <c r="I69" s="976"/>
      <c r="J69" s="976"/>
      <c r="K69" s="976"/>
      <c r="L69" s="976"/>
      <c r="M69" s="976"/>
      <c r="N69" s="976"/>
      <c r="O69" s="976"/>
      <c r="P69" s="976"/>
      <c r="Q69" s="976"/>
      <c r="R69" s="848"/>
      <c r="S69" s="26"/>
      <c r="T69" s="26"/>
      <c r="U69" s="26"/>
      <c r="V69" s="26"/>
      <c r="W69" s="26"/>
      <c r="X69" s="26"/>
      <c r="Y69" s="26"/>
      <c r="Z69" s="26"/>
      <c r="AA69" s="26"/>
      <c r="AB69" s="26"/>
      <c r="AC69" s="26"/>
      <c r="AD69" s="26"/>
      <c r="AE69" s="26"/>
      <c r="AF69" s="26"/>
      <c r="AG69" s="26"/>
      <c r="AH69" s="26"/>
      <c r="AI69" s="26"/>
      <c r="AJ69" s="26"/>
      <c r="AK69" s="638"/>
      <c r="AL69" s="318"/>
      <c r="AM69" s="318"/>
      <c r="AN69" s="318"/>
      <c r="AO69" s="318"/>
      <c r="AP69" s="318"/>
      <c r="AQ69" s="318"/>
      <c r="AR69" s="318"/>
      <c r="AS69" s="643"/>
    </row>
    <row r="70" spans="1:45">
      <c r="A70" s="168"/>
      <c r="B70" s="976"/>
      <c r="C70" s="976"/>
      <c r="D70" s="976"/>
      <c r="E70" s="976"/>
      <c r="F70" s="976"/>
      <c r="G70" s="976"/>
      <c r="H70" s="976"/>
      <c r="I70" s="976"/>
      <c r="J70" s="976"/>
      <c r="K70" s="976"/>
      <c r="L70" s="976"/>
      <c r="M70" s="976"/>
      <c r="N70" s="976"/>
      <c r="O70" s="976"/>
      <c r="P70" s="976"/>
      <c r="Q70" s="976"/>
      <c r="R70" s="848"/>
      <c r="S70" s="26"/>
      <c r="T70" s="26"/>
      <c r="U70" s="26"/>
      <c r="V70" s="26"/>
      <c r="W70" s="26"/>
      <c r="X70" s="26"/>
      <c r="Y70" s="26"/>
      <c r="Z70" s="26"/>
      <c r="AA70" s="26"/>
      <c r="AB70" s="26"/>
      <c r="AC70" s="26"/>
      <c r="AD70" s="26"/>
      <c r="AE70" s="26"/>
      <c r="AF70" s="26"/>
      <c r="AG70" s="26"/>
      <c r="AH70" s="26"/>
      <c r="AI70" s="26"/>
      <c r="AJ70" s="26"/>
      <c r="AK70" s="638"/>
      <c r="AL70" s="318"/>
      <c r="AM70" s="318"/>
      <c r="AN70" s="318"/>
      <c r="AO70" s="318"/>
      <c r="AP70" s="318"/>
      <c r="AQ70" s="318"/>
      <c r="AR70" s="318"/>
      <c r="AS70" s="643"/>
    </row>
    <row r="71" spans="1:45">
      <c r="A71" s="168"/>
      <c r="B71" s="976"/>
      <c r="C71" s="976"/>
      <c r="D71" s="976"/>
      <c r="E71" s="976"/>
      <c r="F71" s="976"/>
      <c r="G71" s="976"/>
      <c r="H71" s="976"/>
      <c r="I71" s="976"/>
      <c r="J71" s="976"/>
      <c r="K71" s="976"/>
      <c r="L71" s="976"/>
      <c r="M71" s="976"/>
      <c r="N71" s="976"/>
      <c r="O71" s="976"/>
      <c r="P71" s="976"/>
      <c r="Q71" s="976"/>
      <c r="R71" s="848"/>
      <c r="S71" s="26"/>
      <c r="T71" s="26"/>
      <c r="U71" s="26"/>
      <c r="V71" s="26"/>
      <c r="W71" s="26"/>
      <c r="X71" s="26"/>
      <c r="Y71" s="26"/>
      <c r="Z71" s="26"/>
      <c r="AA71" s="26"/>
      <c r="AB71" s="26"/>
      <c r="AC71" s="26"/>
      <c r="AD71" s="26"/>
      <c r="AE71" s="26"/>
      <c r="AF71" s="26"/>
      <c r="AG71" s="26"/>
      <c r="AH71" s="26"/>
      <c r="AI71" s="26"/>
      <c r="AJ71" s="26"/>
      <c r="AK71" s="638"/>
      <c r="AL71" s="318"/>
      <c r="AM71" s="318"/>
      <c r="AN71" s="318"/>
      <c r="AO71" s="318"/>
      <c r="AP71" s="318"/>
      <c r="AQ71" s="318"/>
      <c r="AR71" s="318"/>
      <c r="AS71" s="643"/>
    </row>
    <row r="72" spans="1:45">
      <c r="A72" s="168"/>
      <c r="B72" s="976"/>
      <c r="C72" s="976"/>
      <c r="D72" s="976"/>
      <c r="E72" s="976"/>
      <c r="F72" s="976"/>
      <c r="G72" s="976"/>
      <c r="H72" s="976"/>
      <c r="I72" s="976"/>
      <c r="J72" s="976"/>
      <c r="K72" s="976"/>
      <c r="L72" s="976"/>
      <c r="M72" s="976"/>
      <c r="N72" s="976"/>
      <c r="O72" s="976"/>
      <c r="P72" s="976"/>
      <c r="Q72" s="976"/>
      <c r="R72" s="848"/>
      <c r="S72" s="26"/>
      <c r="T72" s="26"/>
      <c r="U72" s="26"/>
      <c r="V72" s="26"/>
      <c r="W72" s="26"/>
      <c r="X72" s="26"/>
      <c r="Y72" s="26"/>
      <c r="Z72" s="26"/>
      <c r="AA72" s="26"/>
      <c r="AB72" s="26"/>
      <c r="AC72" s="26"/>
      <c r="AD72" s="26"/>
      <c r="AE72" s="26"/>
      <c r="AF72" s="26"/>
      <c r="AG72" s="26"/>
      <c r="AH72" s="26"/>
      <c r="AI72" s="26"/>
      <c r="AJ72" s="26"/>
      <c r="AK72" s="638"/>
      <c r="AL72" s="318"/>
      <c r="AM72" s="318"/>
      <c r="AN72" s="318"/>
      <c r="AO72" s="318"/>
      <c r="AP72" s="318"/>
      <c r="AQ72" s="318"/>
      <c r="AR72" s="318"/>
      <c r="AS72" s="643"/>
    </row>
    <row r="73" spans="1:45">
      <c r="A73" s="168"/>
      <c r="B73" s="976"/>
      <c r="C73" s="976"/>
      <c r="D73" s="976"/>
      <c r="E73" s="976"/>
      <c r="F73" s="976"/>
      <c r="G73" s="976"/>
      <c r="H73" s="976"/>
      <c r="I73" s="976"/>
      <c r="J73" s="976"/>
      <c r="K73" s="976"/>
      <c r="L73" s="976"/>
      <c r="M73" s="976"/>
      <c r="N73" s="976"/>
      <c r="O73" s="976"/>
      <c r="P73" s="976"/>
      <c r="Q73" s="976"/>
      <c r="R73" s="848"/>
      <c r="S73" s="26"/>
      <c r="T73" s="26"/>
      <c r="U73" s="26"/>
      <c r="V73" s="26"/>
      <c r="W73" s="26"/>
      <c r="X73" s="26"/>
      <c r="Y73" s="26"/>
      <c r="Z73" s="26"/>
      <c r="AA73" s="26"/>
      <c r="AB73" s="26"/>
      <c r="AC73" s="26"/>
      <c r="AD73" s="26"/>
      <c r="AE73" s="26"/>
      <c r="AF73" s="26"/>
      <c r="AG73" s="26"/>
      <c r="AH73" s="26"/>
      <c r="AI73" s="26"/>
      <c r="AJ73" s="26"/>
      <c r="AK73" s="638"/>
      <c r="AL73" s="318"/>
      <c r="AM73" s="318"/>
      <c r="AN73" s="318"/>
      <c r="AO73" s="318"/>
      <c r="AP73" s="318"/>
      <c r="AQ73" s="318"/>
      <c r="AR73" s="318"/>
      <c r="AS73" s="643"/>
    </row>
    <row r="74" spans="1:45">
      <c r="A74" s="168"/>
      <c r="B74" s="976"/>
      <c r="C74" s="976"/>
      <c r="D74" s="976"/>
      <c r="E74" s="976"/>
      <c r="F74" s="976"/>
      <c r="G74" s="976"/>
      <c r="H74" s="976"/>
      <c r="I74" s="976"/>
      <c r="J74" s="976"/>
      <c r="K74" s="976"/>
      <c r="L74" s="976"/>
      <c r="M74" s="976"/>
      <c r="N74" s="976"/>
      <c r="O74" s="976"/>
      <c r="P74" s="976"/>
      <c r="Q74" s="976"/>
      <c r="R74" s="848"/>
      <c r="S74" s="26"/>
      <c r="T74" s="26"/>
      <c r="U74" s="26"/>
      <c r="V74" s="26"/>
      <c r="W74" s="26"/>
      <c r="X74" s="26"/>
      <c r="Y74" s="26"/>
      <c r="Z74" s="26"/>
      <c r="AA74" s="26"/>
      <c r="AB74" s="26"/>
      <c r="AC74" s="26"/>
      <c r="AD74" s="26"/>
      <c r="AE74" s="26"/>
      <c r="AF74" s="26"/>
      <c r="AG74" s="26"/>
      <c r="AH74" s="26"/>
      <c r="AI74" s="26"/>
      <c r="AJ74" s="26"/>
      <c r="AK74" s="638"/>
      <c r="AL74" s="318"/>
      <c r="AM74" s="318"/>
      <c r="AN74" s="318"/>
      <c r="AO74" s="318"/>
      <c r="AP74" s="318"/>
      <c r="AQ74" s="318"/>
      <c r="AR74" s="318"/>
      <c r="AS74" s="643"/>
    </row>
    <row r="75" spans="1:45">
      <c r="A75" s="168"/>
      <c r="B75" s="976"/>
      <c r="C75" s="976"/>
      <c r="D75" s="976"/>
      <c r="E75" s="976"/>
      <c r="F75" s="976"/>
      <c r="G75" s="976"/>
      <c r="H75" s="976"/>
      <c r="I75" s="976"/>
      <c r="J75" s="976"/>
      <c r="K75" s="976"/>
      <c r="L75" s="976"/>
      <c r="M75" s="976"/>
      <c r="N75" s="976"/>
      <c r="O75" s="976"/>
      <c r="P75" s="976"/>
      <c r="Q75" s="976"/>
      <c r="R75" s="848"/>
      <c r="S75" s="26"/>
      <c r="T75" s="26"/>
      <c r="U75" s="26"/>
      <c r="V75" s="26"/>
      <c r="W75" s="26"/>
      <c r="X75" s="26"/>
      <c r="Y75" s="26"/>
      <c r="Z75" s="26"/>
      <c r="AA75" s="26"/>
      <c r="AB75" s="26"/>
      <c r="AC75" s="26"/>
      <c r="AD75" s="26"/>
      <c r="AE75" s="26"/>
      <c r="AF75" s="26"/>
      <c r="AG75" s="26"/>
      <c r="AH75" s="26"/>
      <c r="AI75" s="26"/>
      <c r="AJ75" s="26"/>
      <c r="AK75" s="638"/>
      <c r="AL75" s="318"/>
      <c r="AM75" s="318"/>
      <c r="AN75" s="318"/>
      <c r="AO75" s="318"/>
      <c r="AP75" s="318"/>
      <c r="AQ75" s="318"/>
      <c r="AR75" s="318"/>
      <c r="AS75" s="643"/>
    </row>
    <row r="76" spans="1:45">
      <c r="A76" s="168"/>
      <c r="B76" s="976"/>
      <c r="C76" s="976"/>
      <c r="D76" s="976"/>
      <c r="E76" s="976"/>
      <c r="F76" s="976"/>
      <c r="G76" s="976"/>
      <c r="H76" s="976"/>
      <c r="I76" s="976"/>
      <c r="J76" s="976"/>
      <c r="K76" s="976"/>
      <c r="L76" s="976"/>
      <c r="M76" s="976"/>
      <c r="N76" s="976"/>
      <c r="O76" s="976"/>
      <c r="P76" s="976"/>
      <c r="Q76" s="976"/>
      <c r="R76" s="848"/>
      <c r="S76" s="26"/>
      <c r="T76" s="26"/>
      <c r="U76" s="26"/>
      <c r="V76" s="26"/>
      <c r="W76" s="26"/>
      <c r="X76" s="26"/>
      <c r="Y76" s="26"/>
      <c r="Z76" s="26"/>
      <c r="AA76" s="26"/>
      <c r="AB76" s="26"/>
      <c r="AC76" s="26"/>
      <c r="AD76" s="26"/>
      <c r="AE76" s="26"/>
      <c r="AF76" s="26"/>
      <c r="AG76" s="26"/>
      <c r="AH76" s="26"/>
      <c r="AI76" s="26"/>
      <c r="AJ76" s="26"/>
      <c r="AK76" s="638"/>
      <c r="AL76" s="318"/>
      <c r="AM76" s="318"/>
      <c r="AN76" s="318"/>
      <c r="AO76" s="318"/>
      <c r="AP76" s="318"/>
      <c r="AQ76" s="318"/>
      <c r="AR76" s="318"/>
      <c r="AS76" s="643"/>
    </row>
    <row r="77" spans="1:45">
      <c r="A77" s="168"/>
      <c r="B77" s="976"/>
      <c r="C77" s="976"/>
      <c r="D77" s="976"/>
      <c r="E77" s="976"/>
      <c r="F77" s="976"/>
      <c r="G77" s="976"/>
      <c r="H77" s="976"/>
      <c r="I77" s="976"/>
      <c r="J77" s="976"/>
      <c r="K77" s="976"/>
      <c r="L77" s="976"/>
      <c r="M77" s="976"/>
      <c r="N77" s="976"/>
      <c r="O77" s="976"/>
      <c r="P77" s="976"/>
      <c r="Q77" s="976"/>
      <c r="R77" s="848"/>
      <c r="S77" s="26"/>
      <c r="T77" s="26"/>
      <c r="U77" s="26"/>
      <c r="V77" s="26"/>
      <c r="W77" s="26"/>
      <c r="X77" s="26"/>
      <c r="Y77" s="26"/>
      <c r="Z77" s="26"/>
      <c r="AA77" s="26"/>
      <c r="AB77" s="26"/>
      <c r="AC77" s="26"/>
      <c r="AD77" s="26"/>
      <c r="AE77" s="26"/>
      <c r="AF77" s="26"/>
      <c r="AG77" s="26"/>
      <c r="AH77" s="26"/>
      <c r="AI77" s="26"/>
      <c r="AJ77" s="26"/>
      <c r="AK77" s="638"/>
      <c r="AL77" s="318"/>
      <c r="AM77" s="318"/>
      <c r="AN77" s="318"/>
      <c r="AO77" s="318"/>
      <c r="AP77" s="318"/>
      <c r="AQ77" s="318"/>
      <c r="AR77" s="318"/>
      <c r="AS77" s="643"/>
    </row>
    <row r="78" spans="1:45">
      <c r="A78" s="168"/>
      <c r="B78" s="976"/>
      <c r="C78" s="976"/>
      <c r="D78" s="976"/>
      <c r="E78" s="976"/>
      <c r="F78" s="976"/>
      <c r="G78" s="976"/>
      <c r="H78" s="976"/>
      <c r="I78" s="976"/>
      <c r="J78" s="976"/>
      <c r="K78" s="976"/>
      <c r="L78" s="976"/>
      <c r="M78" s="976"/>
      <c r="N78" s="976"/>
      <c r="O78" s="976"/>
      <c r="P78" s="976"/>
      <c r="Q78" s="976"/>
      <c r="R78" s="848"/>
      <c r="S78" s="26"/>
      <c r="T78" s="26"/>
      <c r="U78" s="26"/>
      <c r="V78" s="26"/>
      <c r="W78" s="26"/>
      <c r="X78" s="26"/>
      <c r="Y78" s="26"/>
      <c r="Z78" s="26"/>
      <c r="AA78" s="26"/>
      <c r="AB78" s="26"/>
      <c r="AC78" s="26"/>
      <c r="AD78" s="26"/>
      <c r="AE78" s="26"/>
      <c r="AF78" s="26"/>
      <c r="AG78" s="26"/>
      <c r="AH78" s="26"/>
      <c r="AI78" s="26"/>
      <c r="AJ78" s="26"/>
      <c r="AK78" s="638"/>
      <c r="AL78" s="318"/>
      <c r="AM78" s="318"/>
      <c r="AN78" s="318"/>
      <c r="AO78" s="318"/>
      <c r="AP78" s="318"/>
      <c r="AQ78" s="318"/>
      <c r="AR78" s="318"/>
      <c r="AS78" s="643"/>
    </row>
    <row r="79" spans="1:45">
      <c r="A79" s="168"/>
      <c r="B79" s="976"/>
      <c r="C79" s="976"/>
      <c r="D79" s="976"/>
      <c r="E79" s="976"/>
      <c r="F79" s="976"/>
      <c r="G79" s="976"/>
      <c r="H79" s="976"/>
      <c r="I79" s="976"/>
      <c r="J79" s="976"/>
      <c r="K79" s="976"/>
      <c r="L79" s="976"/>
      <c r="M79" s="976"/>
      <c r="N79" s="976"/>
      <c r="O79" s="976"/>
      <c r="P79" s="976"/>
      <c r="Q79" s="976"/>
      <c r="R79" s="848"/>
      <c r="S79" s="26"/>
      <c r="T79" s="26"/>
      <c r="U79" s="26"/>
      <c r="V79" s="26"/>
      <c r="W79" s="26"/>
      <c r="X79" s="26"/>
      <c r="Y79" s="26"/>
      <c r="Z79" s="26"/>
      <c r="AA79" s="26"/>
      <c r="AB79" s="26"/>
      <c r="AC79" s="26"/>
      <c r="AD79" s="26"/>
      <c r="AE79" s="26"/>
      <c r="AF79" s="26"/>
      <c r="AG79" s="26"/>
      <c r="AH79" s="26"/>
      <c r="AI79" s="26"/>
      <c r="AJ79" s="26"/>
      <c r="AK79" s="638"/>
      <c r="AL79" s="318"/>
      <c r="AM79" s="318"/>
      <c r="AN79" s="318"/>
      <c r="AO79" s="318"/>
      <c r="AP79" s="318"/>
      <c r="AQ79" s="318"/>
      <c r="AR79" s="318"/>
      <c r="AS79" s="643"/>
    </row>
    <row r="80" spans="1:45">
      <c r="A80" s="168"/>
      <c r="B80" s="976"/>
      <c r="C80" s="976"/>
      <c r="D80" s="976"/>
      <c r="E80" s="976"/>
      <c r="F80" s="976"/>
      <c r="G80" s="976"/>
      <c r="H80" s="976"/>
      <c r="I80" s="976"/>
      <c r="J80" s="976"/>
      <c r="K80" s="976"/>
      <c r="L80" s="976"/>
      <c r="M80" s="976"/>
      <c r="N80" s="976"/>
      <c r="O80" s="976"/>
      <c r="P80" s="976"/>
      <c r="Q80" s="976"/>
      <c r="R80" s="848"/>
      <c r="S80" s="26"/>
      <c r="T80" s="26"/>
      <c r="U80" s="26"/>
      <c r="V80" s="26"/>
      <c r="W80" s="26"/>
      <c r="X80" s="26"/>
      <c r="Y80" s="26"/>
      <c r="Z80" s="26"/>
      <c r="AA80" s="26"/>
      <c r="AB80" s="26"/>
      <c r="AC80" s="26"/>
      <c r="AD80" s="26"/>
      <c r="AE80" s="26"/>
      <c r="AF80" s="26"/>
      <c r="AG80" s="26"/>
      <c r="AH80" s="26"/>
      <c r="AI80" s="26"/>
      <c r="AJ80" s="26"/>
      <c r="AK80" s="638"/>
      <c r="AL80" s="318"/>
      <c r="AM80" s="318"/>
      <c r="AN80" s="318"/>
      <c r="AO80" s="318"/>
      <c r="AP80" s="318"/>
      <c r="AQ80" s="318"/>
      <c r="AR80" s="318"/>
      <c r="AS80" s="643"/>
    </row>
    <row r="81" spans="1:45">
      <c r="A81" s="168"/>
      <c r="B81" s="976"/>
      <c r="C81" s="976"/>
      <c r="D81" s="976"/>
      <c r="E81" s="976"/>
      <c r="F81" s="976"/>
      <c r="G81" s="976"/>
      <c r="H81" s="976"/>
      <c r="I81" s="976"/>
      <c r="J81" s="976"/>
      <c r="K81" s="976"/>
      <c r="L81" s="976"/>
      <c r="M81" s="976"/>
      <c r="N81" s="976"/>
      <c r="O81" s="976"/>
      <c r="P81" s="976"/>
      <c r="Q81" s="976"/>
      <c r="R81" s="848"/>
      <c r="S81" s="26"/>
      <c r="T81" s="26"/>
      <c r="U81" s="26"/>
      <c r="V81" s="26"/>
      <c r="W81" s="26"/>
      <c r="X81" s="26"/>
      <c r="Y81" s="26"/>
      <c r="Z81" s="26"/>
      <c r="AA81" s="26"/>
      <c r="AB81" s="26"/>
      <c r="AC81" s="26"/>
      <c r="AD81" s="26"/>
      <c r="AE81" s="26"/>
      <c r="AF81" s="26"/>
      <c r="AG81" s="26"/>
      <c r="AH81" s="26"/>
      <c r="AI81" s="26"/>
      <c r="AJ81" s="26"/>
      <c r="AK81" s="638"/>
      <c r="AL81" s="318"/>
      <c r="AM81" s="318"/>
      <c r="AN81" s="318"/>
      <c r="AO81" s="318"/>
      <c r="AP81" s="318"/>
      <c r="AQ81" s="318"/>
      <c r="AR81" s="318"/>
      <c r="AS81" s="643"/>
    </row>
    <row r="82" spans="1:45">
      <c r="A82" s="168"/>
      <c r="B82" s="976"/>
      <c r="C82" s="976"/>
      <c r="D82" s="976"/>
      <c r="E82" s="976"/>
      <c r="F82" s="976"/>
      <c r="G82" s="976"/>
      <c r="H82" s="976"/>
      <c r="I82" s="976"/>
      <c r="J82" s="976"/>
      <c r="K82" s="976"/>
      <c r="L82" s="976"/>
      <c r="M82" s="976"/>
      <c r="N82" s="976"/>
      <c r="O82" s="976"/>
      <c r="P82" s="976"/>
      <c r="Q82" s="976"/>
      <c r="R82" s="848"/>
      <c r="S82" s="26"/>
      <c r="T82" s="26"/>
      <c r="U82" s="26"/>
      <c r="V82" s="26"/>
      <c r="W82" s="26"/>
      <c r="X82" s="26"/>
      <c r="Y82" s="26"/>
      <c r="Z82" s="26"/>
      <c r="AA82" s="26"/>
      <c r="AB82" s="26"/>
      <c r="AC82" s="26"/>
      <c r="AD82" s="26"/>
      <c r="AE82" s="26"/>
      <c r="AF82" s="26"/>
      <c r="AG82" s="26"/>
      <c r="AH82" s="26"/>
      <c r="AI82" s="26"/>
      <c r="AJ82" s="26"/>
      <c r="AK82" s="638"/>
      <c r="AL82" s="318"/>
      <c r="AM82" s="318"/>
      <c r="AN82" s="318"/>
      <c r="AO82" s="318"/>
      <c r="AP82" s="318"/>
      <c r="AQ82" s="318"/>
      <c r="AR82" s="318"/>
      <c r="AS82" s="643"/>
    </row>
    <row r="83" spans="1:45">
      <c r="A83" s="168"/>
      <c r="B83" s="976"/>
      <c r="C83" s="976"/>
      <c r="D83" s="976"/>
      <c r="E83" s="976"/>
      <c r="F83" s="976"/>
      <c r="G83" s="976"/>
      <c r="H83" s="976"/>
      <c r="I83" s="976"/>
      <c r="J83" s="976"/>
      <c r="K83" s="976"/>
      <c r="L83" s="976"/>
      <c r="M83" s="976"/>
      <c r="N83" s="976"/>
      <c r="O83" s="976"/>
      <c r="P83" s="976"/>
      <c r="Q83" s="976"/>
      <c r="R83" s="848"/>
      <c r="S83" s="26"/>
      <c r="T83" s="26"/>
      <c r="U83" s="26"/>
      <c r="V83" s="26"/>
      <c r="W83" s="26"/>
      <c r="X83" s="26"/>
      <c r="Y83" s="26"/>
      <c r="Z83" s="26"/>
      <c r="AA83" s="26"/>
      <c r="AB83" s="26"/>
      <c r="AC83" s="26"/>
      <c r="AD83" s="26"/>
      <c r="AE83" s="26"/>
      <c r="AF83" s="26"/>
      <c r="AG83" s="26"/>
      <c r="AH83" s="26"/>
      <c r="AI83" s="26"/>
      <c r="AJ83" s="26"/>
      <c r="AK83" s="638"/>
      <c r="AL83" s="318"/>
      <c r="AM83" s="318"/>
      <c r="AN83" s="318"/>
      <c r="AO83" s="318"/>
      <c r="AP83" s="318"/>
      <c r="AQ83" s="318"/>
      <c r="AR83" s="318"/>
      <c r="AS83" s="643"/>
    </row>
    <row r="84" spans="1:45">
      <c r="A84" s="168"/>
      <c r="B84" s="976"/>
      <c r="C84" s="976"/>
      <c r="D84" s="976"/>
      <c r="E84" s="976"/>
      <c r="F84" s="976"/>
      <c r="G84" s="976"/>
      <c r="H84" s="976"/>
      <c r="I84" s="976"/>
      <c r="J84" s="976"/>
      <c r="K84" s="976"/>
      <c r="L84" s="976"/>
      <c r="M84" s="976"/>
      <c r="N84" s="976"/>
      <c r="O84" s="976"/>
      <c r="P84" s="976"/>
      <c r="Q84" s="976"/>
      <c r="R84" s="848"/>
      <c r="S84" s="26"/>
      <c r="T84" s="26"/>
      <c r="U84" s="26"/>
      <c r="V84" s="26"/>
      <c r="W84" s="26"/>
      <c r="X84" s="26"/>
      <c r="Y84" s="26"/>
      <c r="Z84" s="26"/>
      <c r="AA84" s="26"/>
      <c r="AB84" s="26"/>
      <c r="AC84" s="26"/>
      <c r="AD84" s="26"/>
      <c r="AE84" s="26"/>
      <c r="AF84" s="26"/>
      <c r="AG84" s="26"/>
      <c r="AH84" s="26"/>
      <c r="AI84" s="26"/>
      <c r="AJ84" s="26"/>
      <c r="AK84" s="638"/>
      <c r="AL84" s="318"/>
      <c r="AM84" s="318"/>
      <c r="AN84" s="318"/>
      <c r="AO84" s="318"/>
      <c r="AP84" s="318"/>
      <c r="AQ84" s="318"/>
      <c r="AR84" s="318"/>
      <c r="AS84" s="643"/>
    </row>
    <row r="85" spans="1:45">
      <c r="A85" s="168"/>
      <c r="B85" s="976"/>
      <c r="C85" s="976"/>
      <c r="D85" s="976"/>
      <c r="E85" s="976"/>
      <c r="F85" s="976"/>
      <c r="G85" s="976"/>
      <c r="H85" s="976"/>
      <c r="I85" s="976"/>
      <c r="J85" s="976"/>
      <c r="K85" s="976"/>
      <c r="L85" s="976"/>
      <c r="M85" s="976"/>
      <c r="N85" s="976"/>
      <c r="O85" s="976"/>
      <c r="P85" s="976"/>
      <c r="Q85" s="976"/>
      <c r="R85" s="848"/>
      <c r="S85" s="26"/>
      <c r="T85" s="26"/>
      <c r="U85" s="26"/>
      <c r="V85" s="26"/>
      <c r="W85" s="26"/>
      <c r="X85" s="26"/>
      <c r="Y85" s="26"/>
      <c r="Z85" s="26"/>
      <c r="AA85" s="26"/>
      <c r="AB85" s="26"/>
      <c r="AC85" s="26"/>
      <c r="AD85" s="26"/>
      <c r="AE85" s="26"/>
      <c r="AF85" s="26"/>
      <c r="AG85" s="26"/>
      <c r="AH85" s="26"/>
      <c r="AI85" s="26"/>
      <c r="AJ85" s="26"/>
      <c r="AK85" s="638"/>
      <c r="AL85" s="318"/>
      <c r="AM85" s="318"/>
      <c r="AN85" s="318"/>
      <c r="AO85" s="318"/>
      <c r="AP85" s="318"/>
      <c r="AQ85" s="318"/>
      <c r="AR85" s="318"/>
      <c r="AS85" s="643"/>
    </row>
    <row r="86" spans="1:45">
      <c r="A86" s="168"/>
      <c r="B86" s="976"/>
      <c r="C86" s="976"/>
      <c r="D86" s="976"/>
      <c r="E86" s="976"/>
      <c r="F86" s="976"/>
      <c r="G86" s="976"/>
      <c r="H86" s="976"/>
      <c r="I86" s="976"/>
      <c r="J86" s="976"/>
      <c r="K86" s="976"/>
      <c r="L86" s="976"/>
      <c r="M86" s="976"/>
      <c r="N86" s="976"/>
      <c r="O86" s="976"/>
      <c r="P86" s="976"/>
      <c r="Q86" s="976"/>
      <c r="R86" s="848"/>
      <c r="S86" s="26"/>
      <c r="T86" s="26"/>
      <c r="U86" s="26"/>
      <c r="V86" s="26"/>
      <c r="W86" s="26"/>
      <c r="X86" s="26"/>
      <c r="Y86" s="26"/>
      <c r="Z86" s="26"/>
      <c r="AA86" s="26"/>
      <c r="AB86" s="26"/>
      <c r="AC86" s="26"/>
      <c r="AD86" s="26"/>
      <c r="AE86" s="26"/>
      <c r="AF86" s="26"/>
      <c r="AG86" s="26"/>
      <c r="AH86" s="26"/>
      <c r="AI86" s="26"/>
      <c r="AJ86" s="26"/>
      <c r="AK86" s="638"/>
      <c r="AL86" s="318"/>
      <c r="AM86" s="318"/>
      <c r="AN86" s="318"/>
      <c r="AO86" s="318"/>
      <c r="AP86" s="318"/>
      <c r="AQ86" s="318"/>
      <c r="AR86" s="318"/>
      <c r="AS86" s="643"/>
    </row>
    <row r="87" spans="1:45">
      <c r="A87" s="168"/>
      <c r="B87" s="976"/>
      <c r="C87" s="976"/>
      <c r="D87" s="976"/>
      <c r="E87" s="976"/>
      <c r="F87" s="976"/>
      <c r="G87" s="976"/>
      <c r="H87" s="976"/>
      <c r="I87" s="976"/>
      <c r="J87" s="976"/>
      <c r="K87" s="976"/>
      <c r="L87" s="976"/>
      <c r="M87" s="976"/>
      <c r="N87" s="976"/>
      <c r="O87" s="976"/>
      <c r="P87" s="976"/>
      <c r="Q87" s="976"/>
      <c r="R87" s="848"/>
      <c r="S87" s="26"/>
      <c r="T87" s="26"/>
      <c r="U87" s="26"/>
      <c r="V87" s="26"/>
      <c r="W87" s="26"/>
      <c r="X87" s="26"/>
      <c r="Y87" s="26"/>
      <c r="Z87" s="26"/>
      <c r="AA87" s="26"/>
      <c r="AB87" s="26"/>
      <c r="AC87" s="26"/>
      <c r="AD87" s="26"/>
      <c r="AE87" s="26"/>
      <c r="AF87" s="26"/>
      <c r="AG87" s="26"/>
      <c r="AH87" s="26"/>
      <c r="AI87" s="26"/>
      <c r="AJ87" s="26"/>
      <c r="AK87" s="638"/>
      <c r="AL87" s="318"/>
      <c r="AM87" s="318"/>
      <c r="AN87" s="318"/>
      <c r="AO87" s="318"/>
      <c r="AP87" s="318"/>
      <c r="AQ87" s="318"/>
      <c r="AR87" s="318"/>
      <c r="AS87" s="643"/>
    </row>
    <row r="88" spans="1:45">
      <c r="A88" s="168"/>
      <c r="B88" s="976"/>
      <c r="C88" s="976"/>
      <c r="D88" s="976"/>
      <c r="E88" s="976"/>
      <c r="F88" s="976"/>
      <c r="G88" s="976"/>
      <c r="H88" s="976"/>
      <c r="I88" s="976"/>
      <c r="J88" s="976"/>
      <c r="K88" s="976"/>
      <c r="L88" s="976"/>
      <c r="M88" s="976"/>
      <c r="N88" s="976"/>
      <c r="O88" s="976"/>
      <c r="P88" s="976"/>
      <c r="Q88" s="976"/>
      <c r="R88" s="848"/>
      <c r="S88" s="26"/>
      <c r="T88" s="26"/>
      <c r="U88" s="26"/>
      <c r="V88" s="26"/>
      <c r="W88" s="26"/>
      <c r="X88" s="26"/>
      <c r="Y88" s="26"/>
      <c r="Z88" s="26"/>
      <c r="AA88" s="26"/>
      <c r="AB88" s="26"/>
      <c r="AC88" s="26"/>
      <c r="AD88" s="26"/>
      <c r="AE88" s="26"/>
      <c r="AF88" s="26"/>
      <c r="AG88" s="26"/>
      <c r="AH88" s="26"/>
      <c r="AI88" s="26"/>
      <c r="AJ88" s="26"/>
      <c r="AK88" s="638"/>
      <c r="AL88" s="318"/>
      <c r="AM88" s="318"/>
      <c r="AN88" s="318"/>
      <c r="AO88" s="318"/>
      <c r="AP88" s="318"/>
      <c r="AQ88" s="318"/>
      <c r="AR88" s="318"/>
      <c r="AS88" s="643"/>
    </row>
    <row r="89" spans="1:45">
      <c r="A89" s="168"/>
      <c r="B89" s="976"/>
      <c r="C89" s="976"/>
      <c r="D89" s="976"/>
      <c r="E89" s="976"/>
      <c r="F89" s="976"/>
      <c r="G89" s="976"/>
      <c r="H89" s="976"/>
      <c r="I89" s="976"/>
      <c r="J89" s="976"/>
      <c r="K89" s="976"/>
      <c r="L89" s="976"/>
      <c r="M89" s="976"/>
      <c r="N89" s="976"/>
      <c r="O89" s="976"/>
      <c r="P89" s="976"/>
      <c r="Q89" s="976"/>
      <c r="R89" s="848"/>
      <c r="S89" s="26"/>
      <c r="T89" s="26"/>
      <c r="U89" s="26"/>
      <c r="V89" s="26"/>
      <c r="W89" s="26"/>
      <c r="X89" s="26"/>
      <c r="Y89" s="26"/>
      <c r="Z89" s="26"/>
      <c r="AA89" s="26"/>
      <c r="AB89" s="26"/>
      <c r="AC89" s="26"/>
      <c r="AD89" s="26"/>
      <c r="AE89" s="26"/>
      <c r="AF89" s="26"/>
      <c r="AG89" s="26"/>
      <c r="AH89" s="26"/>
      <c r="AI89" s="26"/>
      <c r="AJ89" s="26"/>
      <c r="AK89" s="638"/>
      <c r="AL89" s="318"/>
      <c r="AM89" s="318"/>
      <c r="AN89" s="318"/>
      <c r="AO89" s="318"/>
      <c r="AP89" s="318"/>
      <c r="AQ89" s="318"/>
      <c r="AR89" s="318"/>
      <c r="AS89" s="643"/>
    </row>
    <row r="90" spans="1:45">
      <c r="A90" s="168"/>
      <c r="B90" s="976"/>
      <c r="C90" s="976"/>
      <c r="D90" s="976"/>
      <c r="E90" s="976"/>
      <c r="F90" s="976"/>
      <c r="G90" s="976"/>
      <c r="H90" s="976"/>
      <c r="I90" s="976"/>
      <c r="J90" s="976"/>
      <c r="K90" s="976"/>
      <c r="L90" s="976"/>
      <c r="M90" s="976"/>
      <c r="N90" s="976"/>
      <c r="O90" s="976"/>
      <c r="P90" s="976"/>
      <c r="Q90" s="976"/>
      <c r="R90" s="848"/>
      <c r="S90" s="26"/>
      <c r="T90" s="26"/>
      <c r="U90" s="26"/>
      <c r="V90" s="26"/>
      <c r="W90" s="26"/>
      <c r="X90" s="26"/>
      <c r="Y90" s="26"/>
      <c r="Z90" s="26"/>
      <c r="AA90" s="26"/>
      <c r="AB90" s="26"/>
      <c r="AC90" s="26"/>
      <c r="AD90" s="26"/>
      <c r="AE90" s="26"/>
      <c r="AF90" s="26"/>
      <c r="AG90" s="26"/>
      <c r="AH90" s="26"/>
      <c r="AI90" s="26"/>
      <c r="AJ90" s="26"/>
      <c r="AK90" s="638"/>
      <c r="AL90" s="318"/>
      <c r="AM90" s="318"/>
      <c r="AN90" s="318"/>
      <c r="AO90" s="318"/>
      <c r="AP90" s="318"/>
      <c r="AQ90" s="318"/>
      <c r="AR90" s="318"/>
      <c r="AS90" s="643"/>
    </row>
    <row r="91" spans="1:45">
      <c r="A91" s="168"/>
      <c r="B91" s="976"/>
      <c r="C91" s="976"/>
      <c r="D91" s="976"/>
      <c r="E91" s="976"/>
      <c r="F91" s="976"/>
      <c r="G91" s="976"/>
      <c r="H91" s="976"/>
      <c r="I91" s="976"/>
      <c r="J91" s="976"/>
      <c r="K91" s="976"/>
      <c r="L91" s="976"/>
      <c r="M91" s="976"/>
      <c r="N91" s="976"/>
      <c r="O91" s="976"/>
      <c r="P91" s="976"/>
      <c r="Q91" s="976"/>
      <c r="R91" s="848"/>
      <c r="S91" s="26"/>
      <c r="T91" s="26"/>
      <c r="U91" s="26"/>
      <c r="V91" s="26"/>
      <c r="W91" s="26"/>
      <c r="X91" s="26"/>
      <c r="Y91" s="26"/>
      <c r="Z91" s="26"/>
      <c r="AA91" s="26"/>
      <c r="AB91" s="26"/>
      <c r="AC91" s="26"/>
      <c r="AD91" s="26"/>
      <c r="AE91" s="26"/>
      <c r="AF91" s="26"/>
      <c r="AG91" s="26"/>
      <c r="AH91" s="26"/>
      <c r="AI91" s="26"/>
      <c r="AJ91" s="26"/>
      <c r="AK91" s="638"/>
      <c r="AL91" s="318"/>
      <c r="AM91" s="318"/>
      <c r="AN91" s="318"/>
      <c r="AO91" s="318"/>
      <c r="AP91" s="318"/>
      <c r="AQ91" s="318"/>
      <c r="AR91" s="318"/>
      <c r="AS91" s="643"/>
    </row>
    <row r="92" spans="1:45">
      <c r="A92" s="168"/>
      <c r="B92" s="976"/>
      <c r="C92" s="976"/>
      <c r="D92" s="976"/>
      <c r="E92" s="976"/>
      <c r="F92" s="976"/>
      <c r="G92" s="976"/>
      <c r="H92" s="976"/>
      <c r="I92" s="976"/>
      <c r="J92" s="976"/>
      <c r="K92" s="976"/>
      <c r="L92" s="976"/>
      <c r="M92" s="976"/>
      <c r="N92" s="976"/>
      <c r="O92" s="976"/>
      <c r="P92" s="976"/>
      <c r="Q92" s="976"/>
      <c r="R92" s="848"/>
      <c r="S92" s="26"/>
      <c r="T92" s="26"/>
      <c r="U92" s="26"/>
      <c r="V92" s="26"/>
      <c r="W92" s="26"/>
      <c r="X92" s="26"/>
      <c r="Y92" s="26"/>
      <c r="Z92" s="26"/>
      <c r="AA92" s="26"/>
      <c r="AB92" s="26"/>
      <c r="AC92" s="26"/>
      <c r="AD92" s="26"/>
      <c r="AE92" s="26"/>
      <c r="AF92" s="26"/>
      <c r="AG92" s="26"/>
      <c r="AH92" s="26"/>
      <c r="AI92" s="26"/>
      <c r="AJ92" s="26"/>
      <c r="AK92" s="638"/>
      <c r="AL92" s="318"/>
      <c r="AM92" s="318"/>
      <c r="AN92" s="318"/>
      <c r="AO92" s="318"/>
      <c r="AP92" s="318"/>
      <c r="AQ92" s="318"/>
      <c r="AR92" s="318"/>
      <c r="AS92" s="643"/>
    </row>
    <row r="93" spans="1:45">
      <c r="A93" s="168"/>
      <c r="B93" s="976"/>
      <c r="C93" s="976"/>
      <c r="D93" s="976"/>
      <c r="E93" s="976"/>
      <c r="F93" s="976"/>
      <c r="G93" s="976"/>
      <c r="H93" s="976"/>
      <c r="I93" s="976"/>
      <c r="J93" s="976"/>
      <c r="K93" s="976"/>
      <c r="L93" s="976"/>
      <c r="M93" s="976"/>
      <c r="N93" s="976"/>
      <c r="O93" s="976"/>
      <c r="P93" s="976"/>
      <c r="Q93" s="976"/>
      <c r="R93" s="848"/>
      <c r="S93" s="26"/>
      <c r="T93" s="26"/>
      <c r="U93" s="26"/>
      <c r="V93" s="26"/>
      <c r="W93" s="26"/>
      <c r="X93" s="26"/>
      <c r="Y93" s="26"/>
      <c r="Z93" s="26"/>
      <c r="AA93" s="26"/>
      <c r="AB93" s="26"/>
      <c r="AC93" s="26"/>
      <c r="AD93" s="26"/>
      <c r="AE93" s="26"/>
      <c r="AF93" s="26"/>
      <c r="AG93" s="26"/>
      <c r="AH93" s="26"/>
      <c r="AI93" s="26"/>
      <c r="AJ93" s="26"/>
      <c r="AK93" s="638"/>
      <c r="AL93" s="318"/>
      <c r="AM93" s="318"/>
      <c r="AN93" s="318"/>
      <c r="AO93" s="318"/>
      <c r="AP93" s="318"/>
      <c r="AQ93" s="318"/>
      <c r="AR93" s="318"/>
      <c r="AS93" s="643"/>
    </row>
    <row r="94" spans="1:45">
      <c r="A94" s="168"/>
      <c r="B94" s="976"/>
      <c r="C94" s="976"/>
      <c r="D94" s="976"/>
      <c r="E94" s="976"/>
      <c r="F94" s="976"/>
      <c r="G94" s="976"/>
      <c r="H94" s="976"/>
      <c r="I94" s="976"/>
      <c r="J94" s="976"/>
      <c r="K94" s="976"/>
      <c r="L94" s="976"/>
      <c r="M94" s="976"/>
      <c r="N94" s="976"/>
      <c r="O94" s="976"/>
      <c r="P94" s="976"/>
      <c r="Q94" s="976"/>
      <c r="R94" s="848"/>
      <c r="S94" s="26"/>
      <c r="T94" s="26"/>
      <c r="U94" s="26"/>
      <c r="V94" s="26"/>
      <c r="W94" s="26"/>
      <c r="X94" s="26"/>
      <c r="Y94" s="26"/>
      <c r="Z94" s="26"/>
      <c r="AA94" s="26"/>
      <c r="AB94" s="26"/>
      <c r="AC94" s="26"/>
      <c r="AD94" s="26"/>
      <c r="AE94" s="26"/>
      <c r="AF94" s="26"/>
      <c r="AG94" s="26"/>
      <c r="AH94" s="26"/>
      <c r="AI94" s="26"/>
      <c r="AJ94" s="26"/>
      <c r="AK94" s="638"/>
      <c r="AL94" s="318"/>
      <c r="AM94" s="318"/>
      <c r="AN94" s="318"/>
      <c r="AO94" s="318"/>
      <c r="AP94" s="318"/>
      <c r="AQ94" s="318"/>
      <c r="AR94" s="318"/>
      <c r="AS94" s="643"/>
    </row>
    <row r="95" spans="1:45">
      <c r="A95" s="168"/>
      <c r="B95" s="976"/>
      <c r="C95" s="976"/>
      <c r="D95" s="976"/>
      <c r="E95" s="976"/>
      <c r="F95" s="976"/>
      <c r="G95" s="976"/>
      <c r="H95" s="976"/>
      <c r="I95" s="976"/>
      <c r="J95" s="976"/>
      <c r="K95" s="976"/>
      <c r="L95" s="976"/>
      <c r="M95" s="976"/>
      <c r="N95" s="976"/>
      <c r="O95" s="976"/>
      <c r="P95" s="976"/>
      <c r="Q95" s="976"/>
      <c r="R95" s="848"/>
      <c r="S95" s="26"/>
      <c r="T95" s="26"/>
      <c r="U95" s="26"/>
      <c r="V95" s="26"/>
      <c r="W95" s="26"/>
      <c r="X95" s="26"/>
      <c r="Y95" s="26"/>
      <c r="Z95" s="26"/>
      <c r="AA95" s="26"/>
      <c r="AB95" s="26"/>
      <c r="AC95" s="26"/>
      <c r="AD95" s="26"/>
      <c r="AE95" s="26"/>
      <c r="AF95" s="26"/>
      <c r="AG95" s="26"/>
      <c r="AH95" s="26"/>
      <c r="AI95" s="26"/>
      <c r="AJ95" s="26"/>
      <c r="AK95" s="638"/>
      <c r="AL95" s="318"/>
      <c r="AM95" s="318"/>
      <c r="AN95" s="318"/>
      <c r="AO95" s="318"/>
      <c r="AP95" s="318"/>
      <c r="AQ95" s="318"/>
      <c r="AR95" s="318"/>
      <c r="AS95" s="643"/>
    </row>
    <row r="96" spans="1:45">
      <c r="A96" s="168"/>
      <c r="B96" s="976"/>
      <c r="C96" s="976"/>
      <c r="D96" s="976"/>
      <c r="E96" s="976"/>
      <c r="F96" s="976"/>
      <c r="G96" s="976"/>
      <c r="H96" s="976"/>
      <c r="I96" s="976"/>
      <c r="J96" s="976"/>
      <c r="K96" s="976"/>
      <c r="L96" s="976"/>
      <c r="M96" s="976"/>
      <c r="N96" s="976"/>
      <c r="O96" s="976"/>
      <c r="P96" s="976"/>
      <c r="Q96" s="976"/>
      <c r="R96" s="848"/>
      <c r="S96" s="26"/>
      <c r="T96" s="26"/>
      <c r="U96" s="26"/>
      <c r="V96" s="26"/>
      <c r="W96" s="26"/>
      <c r="X96" s="26"/>
      <c r="Y96" s="26"/>
      <c r="Z96" s="26"/>
      <c r="AA96" s="26"/>
      <c r="AB96" s="26"/>
      <c r="AC96" s="26"/>
      <c r="AD96" s="26"/>
      <c r="AE96" s="26"/>
      <c r="AF96" s="26"/>
      <c r="AG96" s="26"/>
      <c r="AH96" s="26"/>
      <c r="AI96" s="26"/>
      <c r="AJ96" s="26"/>
      <c r="AK96" s="638"/>
      <c r="AL96" s="318"/>
      <c r="AM96" s="318"/>
      <c r="AN96" s="318"/>
      <c r="AO96" s="318"/>
      <c r="AP96" s="318"/>
      <c r="AQ96" s="318"/>
      <c r="AR96" s="318"/>
      <c r="AS96" s="643"/>
    </row>
    <row r="97" spans="1:45">
      <c r="A97" s="168"/>
      <c r="B97" s="976"/>
      <c r="C97" s="976"/>
      <c r="D97" s="976"/>
      <c r="E97" s="976"/>
      <c r="F97" s="976"/>
      <c r="G97" s="976"/>
      <c r="H97" s="976"/>
      <c r="I97" s="976"/>
      <c r="J97" s="976"/>
      <c r="K97" s="976"/>
      <c r="L97" s="976"/>
      <c r="M97" s="976"/>
      <c r="N97" s="976"/>
      <c r="O97" s="976"/>
      <c r="P97" s="976"/>
      <c r="Q97" s="976"/>
      <c r="R97" s="848"/>
      <c r="S97" s="26"/>
      <c r="T97" s="26"/>
      <c r="U97" s="26"/>
      <c r="V97" s="26"/>
      <c r="W97" s="26"/>
      <c r="X97" s="26"/>
      <c r="Y97" s="26"/>
      <c r="Z97" s="26"/>
      <c r="AA97" s="26"/>
      <c r="AB97" s="26"/>
      <c r="AC97" s="26"/>
      <c r="AD97" s="26"/>
      <c r="AE97" s="26"/>
      <c r="AF97" s="26"/>
      <c r="AG97" s="26"/>
      <c r="AH97" s="26"/>
      <c r="AI97" s="26"/>
      <c r="AJ97" s="26"/>
      <c r="AK97" s="638"/>
      <c r="AL97" s="318"/>
      <c r="AM97" s="318"/>
      <c r="AN97" s="318"/>
      <c r="AO97" s="318"/>
      <c r="AP97" s="318"/>
      <c r="AQ97" s="318"/>
      <c r="AR97" s="318"/>
      <c r="AS97" s="643"/>
    </row>
    <row r="98" spans="1:45">
      <c r="A98" s="168"/>
      <c r="B98" s="976"/>
      <c r="C98" s="976"/>
      <c r="D98" s="976"/>
      <c r="E98" s="976"/>
      <c r="F98" s="976"/>
      <c r="G98" s="976"/>
      <c r="H98" s="976"/>
      <c r="I98" s="976"/>
      <c r="J98" s="976"/>
      <c r="K98" s="976"/>
      <c r="L98" s="976"/>
      <c r="M98" s="976"/>
      <c r="N98" s="976"/>
      <c r="O98" s="976"/>
      <c r="P98" s="976"/>
      <c r="Q98" s="976"/>
      <c r="R98" s="848"/>
      <c r="S98" s="26"/>
      <c r="T98" s="26"/>
      <c r="U98" s="26"/>
      <c r="V98" s="26"/>
      <c r="W98" s="26"/>
      <c r="X98" s="26"/>
      <c r="Y98" s="26"/>
      <c r="Z98" s="26"/>
      <c r="AA98" s="26"/>
      <c r="AB98" s="26"/>
      <c r="AC98" s="26"/>
      <c r="AD98" s="26"/>
      <c r="AE98" s="26"/>
      <c r="AF98" s="26"/>
      <c r="AG98" s="26"/>
      <c r="AH98" s="26"/>
      <c r="AI98" s="26"/>
      <c r="AJ98" s="26"/>
      <c r="AK98" s="638"/>
      <c r="AL98" s="318"/>
      <c r="AM98" s="318"/>
      <c r="AN98" s="318"/>
      <c r="AO98" s="318"/>
      <c r="AP98" s="318"/>
      <c r="AQ98" s="318"/>
      <c r="AR98" s="318"/>
      <c r="AS98" s="643"/>
    </row>
    <row r="99" spans="1:45">
      <c r="A99" s="168"/>
      <c r="B99" s="976"/>
      <c r="C99" s="976"/>
      <c r="D99" s="976"/>
      <c r="E99" s="976"/>
      <c r="F99" s="976"/>
      <c r="G99" s="976"/>
      <c r="H99" s="976"/>
      <c r="I99" s="976"/>
      <c r="J99" s="976"/>
      <c r="K99" s="976"/>
      <c r="L99" s="976"/>
      <c r="M99" s="976"/>
      <c r="N99" s="976"/>
      <c r="O99" s="976"/>
      <c r="P99" s="976"/>
      <c r="Q99" s="976"/>
      <c r="R99" s="848"/>
      <c r="S99" s="26"/>
      <c r="T99" s="26"/>
      <c r="U99" s="26"/>
      <c r="V99" s="26"/>
      <c r="W99" s="26"/>
      <c r="X99" s="26"/>
      <c r="Y99" s="26"/>
      <c r="Z99" s="26"/>
      <c r="AA99" s="26"/>
      <c r="AB99" s="26"/>
      <c r="AC99" s="26"/>
      <c r="AD99" s="26"/>
      <c r="AE99" s="26"/>
      <c r="AF99" s="26"/>
      <c r="AG99" s="26"/>
      <c r="AH99" s="26"/>
      <c r="AI99" s="26"/>
      <c r="AJ99" s="26"/>
      <c r="AK99" s="638"/>
      <c r="AL99" s="318"/>
      <c r="AM99" s="318"/>
      <c r="AN99" s="318"/>
      <c r="AO99" s="318"/>
      <c r="AP99" s="318"/>
      <c r="AQ99" s="318"/>
      <c r="AR99" s="318"/>
      <c r="AS99" s="643"/>
    </row>
    <row r="100" spans="1:45">
      <c r="A100" s="168"/>
      <c r="B100" s="976"/>
      <c r="C100" s="976"/>
      <c r="D100" s="976"/>
      <c r="E100" s="976"/>
      <c r="F100" s="976"/>
      <c r="G100" s="976"/>
      <c r="H100" s="976"/>
      <c r="I100" s="976"/>
      <c r="J100" s="976"/>
      <c r="K100" s="976"/>
      <c r="L100" s="976"/>
      <c r="M100" s="976"/>
      <c r="N100" s="976"/>
      <c r="O100" s="976"/>
      <c r="P100" s="976"/>
      <c r="Q100" s="976"/>
      <c r="R100" s="848"/>
      <c r="S100" s="26"/>
      <c r="T100" s="26"/>
      <c r="U100" s="26"/>
      <c r="V100" s="26"/>
      <c r="W100" s="26"/>
      <c r="X100" s="26"/>
      <c r="Y100" s="26"/>
      <c r="Z100" s="26"/>
      <c r="AA100" s="26"/>
      <c r="AB100" s="26"/>
      <c r="AC100" s="26"/>
      <c r="AD100" s="26"/>
      <c r="AE100" s="26"/>
      <c r="AF100" s="26"/>
      <c r="AG100" s="26"/>
      <c r="AH100" s="26"/>
      <c r="AI100" s="26"/>
      <c r="AJ100" s="26"/>
      <c r="AK100" s="638"/>
      <c r="AL100" s="318"/>
      <c r="AM100" s="318"/>
      <c r="AN100" s="318"/>
      <c r="AO100" s="318"/>
      <c r="AP100" s="318"/>
      <c r="AQ100" s="318"/>
      <c r="AR100" s="318"/>
      <c r="AS100" s="643"/>
    </row>
    <row r="101" spans="1:45">
      <c r="A101" s="168"/>
      <c r="B101" s="976"/>
      <c r="C101" s="976"/>
      <c r="D101" s="976"/>
      <c r="E101" s="976"/>
      <c r="F101" s="976"/>
      <c r="G101" s="976"/>
      <c r="H101" s="976"/>
      <c r="I101" s="976"/>
      <c r="J101" s="976"/>
      <c r="K101" s="976"/>
      <c r="L101" s="976"/>
      <c r="M101" s="976"/>
      <c r="N101" s="976"/>
      <c r="O101" s="976"/>
      <c r="P101" s="976"/>
      <c r="Q101" s="976"/>
      <c r="R101" s="848"/>
      <c r="S101" s="26"/>
      <c r="T101" s="26"/>
      <c r="U101" s="26"/>
      <c r="V101" s="26"/>
      <c r="W101" s="26"/>
      <c r="X101" s="26"/>
      <c r="Y101" s="26"/>
      <c r="Z101" s="26"/>
      <c r="AA101" s="26"/>
      <c r="AB101" s="26"/>
      <c r="AC101" s="26"/>
      <c r="AD101" s="26"/>
      <c r="AE101" s="26"/>
      <c r="AF101" s="26"/>
      <c r="AG101" s="26"/>
      <c r="AH101" s="26"/>
      <c r="AI101" s="26"/>
      <c r="AJ101" s="26"/>
      <c r="AK101" s="638"/>
      <c r="AL101" s="318"/>
      <c r="AM101" s="318"/>
      <c r="AN101" s="318"/>
      <c r="AO101" s="318"/>
      <c r="AP101" s="318"/>
      <c r="AQ101" s="318"/>
      <c r="AR101" s="318"/>
      <c r="AS101" s="643"/>
    </row>
    <row r="102" spans="1:45">
      <c r="A102" s="168"/>
      <c r="B102" s="976"/>
      <c r="C102" s="976"/>
      <c r="D102" s="976"/>
      <c r="E102" s="976"/>
      <c r="F102" s="976"/>
      <c r="G102" s="976"/>
      <c r="H102" s="976"/>
      <c r="I102" s="976"/>
      <c r="J102" s="976"/>
      <c r="K102" s="976"/>
      <c r="L102" s="976"/>
      <c r="M102" s="976"/>
      <c r="N102" s="976"/>
      <c r="O102" s="976"/>
      <c r="P102" s="976"/>
      <c r="Q102" s="976"/>
      <c r="R102" s="848"/>
      <c r="S102" s="26"/>
      <c r="T102" s="26"/>
      <c r="U102" s="26"/>
      <c r="V102" s="26"/>
      <c r="W102" s="26"/>
      <c r="X102" s="26"/>
      <c r="Y102" s="26"/>
      <c r="Z102" s="26"/>
      <c r="AA102" s="26"/>
      <c r="AB102" s="26"/>
      <c r="AC102" s="26"/>
      <c r="AD102" s="26"/>
      <c r="AE102" s="26"/>
      <c r="AF102" s="26"/>
      <c r="AG102" s="26"/>
      <c r="AH102" s="26"/>
      <c r="AI102" s="26"/>
      <c r="AJ102" s="26"/>
      <c r="AK102" s="638"/>
      <c r="AL102" s="318"/>
      <c r="AM102" s="318"/>
      <c r="AN102" s="318"/>
      <c r="AO102" s="318"/>
      <c r="AP102" s="318"/>
      <c r="AQ102" s="318"/>
      <c r="AR102" s="318"/>
      <c r="AS102" s="643"/>
    </row>
    <row r="103" spans="1:45">
      <c r="A103" s="168"/>
      <c r="B103" s="976"/>
      <c r="C103" s="976"/>
      <c r="D103" s="976"/>
      <c r="E103" s="976"/>
      <c r="F103" s="976"/>
      <c r="G103" s="976"/>
      <c r="H103" s="976"/>
      <c r="I103" s="976"/>
      <c r="J103" s="976"/>
      <c r="K103" s="976"/>
      <c r="L103" s="976"/>
      <c r="M103" s="976"/>
      <c r="N103" s="976"/>
      <c r="O103" s="976"/>
      <c r="P103" s="976"/>
      <c r="Q103" s="976"/>
      <c r="R103" s="848"/>
      <c r="S103" s="26"/>
      <c r="T103" s="26"/>
      <c r="U103" s="26"/>
      <c r="V103" s="26"/>
      <c r="W103" s="26"/>
      <c r="X103" s="26"/>
      <c r="Y103" s="26"/>
      <c r="Z103" s="26"/>
      <c r="AA103" s="26"/>
      <c r="AB103" s="26"/>
      <c r="AC103" s="26"/>
      <c r="AD103" s="26"/>
      <c r="AE103" s="26"/>
      <c r="AF103" s="26"/>
      <c r="AG103" s="26"/>
      <c r="AH103" s="26"/>
      <c r="AI103" s="26"/>
      <c r="AJ103" s="26"/>
      <c r="AK103" s="638"/>
      <c r="AL103" s="318"/>
      <c r="AM103" s="318"/>
      <c r="AN103" s="318"/>
      <c r="AO103" s="318"/>
      <c r="AP103" s="318"/>
      <c r="AQ103" s="318"/>
      <c r="AR103" s="318"/>
      <c r="AS103" s="643"/>
    </row>
    <row r="104" spans="1:45">
      <c r="A104" s="168"/>
      <c r="B104" s="976"/>
      <c r="C104" s="976"/>
      <c r="D104" s="976"/>
      <c r="E104" s="976"/>
      <c r="F104" s="976"/>
      <c r="G104" s="976"/>
      <c r="H104" s="976"/>
      <c r="I104" s="976"/>
      <c r="J104" s="976"/>
      <c r="K104" s="976"/>
      <c r="L104" s="976"/>
      <c r="M104" s="976"/>
      <c r="N104" s="976"/>
      <c r="O104" s="976"/>
      <c r="P104" s="976"/>
      <c r="Q104" s="976"/>
      <c r="R104" s="848"/>
      <c r="S104" s="26"/>
      <c r="T104" s="26"/>
      <c r="U104" s="26"/>
      <c r="V104" s="26"/>
      <c r="W104" s="26"/>
      <c r="X104" s="26"/>
      <c r="Y104" s="26"/>
      <c r="Z104" s="26"/>
      <c r="AA104" s="26"/>
      <c r="AB104" s="26"/>
      <c r="AC104" s="26"/>
      <c r="AD104" s="26"/>
      <c r="AE104" s="26"/>
      <c r="AF104" s="26"/>
      <c r="AG104" s="26"/>
      <c r="AH104" s="26"/>
      <c r="AI104" s="26"/>
      <c r="AJ104" s="26"/>
      <c r="AK104" s="638"/>
      <c r="AL104" s="318"/>
      <c r="AM104" s="318"/>
      <c r="AN104" s="318"/>
      <c r="AO104" s="318"/>
      <c r="AP104" s="318"/>
      <c r="AQ104" s="318"/>
      <c r="AR104" s="318"/>
      <c r="AS104" s="643"/>
    </row>
    <row r="105" spans="1:45">
      <c r="A105" s="168"/>
      <c r="B105" s="976"/>
      <c r="C105" s="976"/>
      <c r="D105" s="976"/>
      <c r="E105" s="976"/>
      <c r="F105" s="976"/>
      <c r="G105" s="976"/>
      <c r="H105" s="976"/>
      <c r="I105" s="976"/>
      <c r="J105" s="976"/>
      <c r="K105" s="976"/>
      <c r="L105" s="976"/>
      <c r="M105" s="976"/>
      <c r="N105" s="976"/>
      <c r="O105" s="976"/>
      <c r="P105" s="976"/>
      <c r="Q105" s="976"/>
      <c r="R105" s="848"/>
      <c r="S105" s="26"/>
      <c r="T105" s="26"/>
      <c r="U105" s="26"/>
      <c r="V105" s="26"/>
      <c r="W105" s="26"/>
      <c r="X105" s="26"/>
      <c r="Y105" s="26"/>
      <c r="Z105" s="26"/>
      <c r="AA105" s="26"/>
      <c r="AB105" s="26"/>
      <c r="AC105" s="26"/>
      <c r="AD105" s="26"/>
      <c r="AE105" s="26"/>
      <c r="AF105" s="26"/>
      <c r="AG105" s="26"/>
      <c r="AH105" s="26"/>
      <c r="AI105" s="26"/>
      <c r="AJ105" s="26"/>
      <c r="AK105" s="638"/>
      <c r="AL105" s="318"/>
      <c r="AM105" s="318"/>
      <c r="AN105" s="318"/>
      <c r="AO105" s="318"/>
      <c r="AP105" s="318"/>
      <c r="AQ105" s="318"/>
      <c r="AR105" s="318"/>
      <c r="AS105" s="643"/>
    </row>
    <row r="106" spans="1:45">
      <c r="A106" s="168"/>
      <c r="B106" s="976"/>
      <c r="C106" s="976"/>
      <c r="D106" s="976"/>
      <c r="E106" s="976"/>
      <c r="F106" s="976"/>
      <c r="G106" s="976"/>
      <c r="H106" s="976"/>
      <c r="I106" s="976"/>
      <c r="J106" s="976"/>
      <c r="K106" s="976"/>
      <c r="L106" s="976"/>
      <c r="M106" s="976"/>
      <c r="N106" s="976"/>
      <c r="O106" s="976"/>
      <c r="P106" s="976"/>
      <c r="Q106" s="976"/>
      <c r="R106" s="848"/>
      <c r="S106" s="26"/>
      <c r="T106" s="26"/>
      <c r="U106" s="26"/>
      <c r="V106" s="26"/>
      <c r="W106" s="26"/>
      <c r="X106" s="26"/>
      <c r="Y106" s="26"/>
      <c r="Z106" s="26"/>
      <c r="AA106" s="26"/>
      <c r="AB106" s="26"/>
      <c r="AC106" s="26"/>
      <c r="AD106" s="26"/>
      <c r="AE106" s="26"/>
      <c r="AF106" s="26"/>
      <c r="AG106" s="26"/>
      <c r="AH106" s="26"/>
      <c r="AI106" s="26"/>
      <c r="AJ106" s="26"/>
      <c r="AK106" s="638"/>
      <c r="AL106" s="318"/>
      <c r="AM106" s="318"/>
      <c r="AN106" s="318"/>
      <c r="AO106" s="318"/>
      <c r="AP106" s="318"/>
      <c r="AQ106" s="318"/>
      <c r="AR106" s="318"/>
      <c r="AS106" s="643"/>
    </row>
    <row r="107" spans="1:45">
      <c r="A107" s="168"/>
      <c r="B107" s="976"/>
      <c r="C107" s="976"/>
      <c r="D107" s="976"/>
      <c r="E107" s="976"/>
      <c r="F107" s="976"/>
      <c r="G107" s="976"/>
      <c r="H107" s="976"/>
      <c r="I107" s="976"/>
      <c r="J107" s="976"/>
      <c r="K107" s="976"/>
      <c r="L107" s="976"/>
      <c r="M107" s="976"/>
      <c r="N107" s="976"/>
      <c r="O107" s="976"/>
      <c r="P107" s="976"/>
      <c r="Q107" s="976"/>
      <c r="R107" s="848"/>
      <c r="S107" s="26"/>
      <c r="T107" s="26"/>
      <c r="U107" s="26"/>
      <c r="V107" s="26"/>
      <c r="W107" s="26"/>
      <c r="X107" s="26"/>
      <c r="Y107" s="26"/>
      <c r="Z107" s="26"/>
      <c r="AA107" s="26"/>
      <c r="AB107" s="26"/>
      <c r="AC107" s="26"/>
      <c r="AD107" s="26"/>
      <c r="AE107" s="26"/>
      <c r="AF107" s="26"/>
      <c r="AG107" s="26"/>
      <c r="AH107" s="26"/>
      <c r="AI107" s="26"/>
      <c r="AJ107" s="26"/>
      <c r="AK107" s="638"/>
      <c r="AL107" s="318"/>
      <c r="AM107" s="318"/>
      <c r="AN107" s="318"/>
      <c r="AO107" s="318"/>
      <c r="AP107" s="318"/>
      <c r="AQ107" s="318"/>
      <c r="AR107" s="318"/>
      <c r="AS107" s="643"/>
    </row>
    <row r="108" spans="1:45">
      <c r="A108" s="168"/>
      <c r="B108" s="976"/>
      <c r="C108" s="976"/>
      <c r="D108" s="976"/>
      <c r="E108" s="976"/>
      <c r="F108" s="976"/>
      <c r="G108" s="976"/>
      <c r="H108" s="976"/>
      <c r="I108" s="976"/>
      <c r="J108" s="976"/>
      <c r="K108" s="976"/>
      <c r="L108" s="976"/>
      <c r="M108" s="976"/>
      <c r="N108" s="976"/>
      <c r="O108" s="976"/>
      <c r="P108" s="976"/>
      <c r="Q108" s="976"/>
      <c r="R108" s="848"/>
      <c r="S108" s="26"/>
      <c r="T108" s="26"/>
      <c r="U108" s="26"/>
      <c r="V108" s="26"/>
      <c r="W108" s="26"/>
      <c r="X108" s="26"/>
      <c r="Y108" s="26"/>
      <c r="Z108" s="26"/>
      <c r="AA108" s="26"/>
      <c r="AB108" s="26"/>
      <c r="AC108" s="26"/>
      <c r="AD108" s="26"/>
      <c r="AE108" s="26"/>
      <c r="AF108" s="26"/>
      <c r="AG108" s="26"/>
      <c r="AH108" s="26"/>
      <c r="AI108" s="26"/>
      <c r="AJ108" s="26"/>
      <c r="AK108" s="638"/>
      <c r="AL108" s="318"/>
      <c r="AM108" s="318"/>
      <c r="AN108" s="318"/>
      <c r="AO108" s="318"/>
      <c r="AP108" s="318"/>
      <c r="AQ108" s="318"/>
      <c r="AR108" s="318"/>
      <c r="AS108" s="643"/>
    </row>
    <row r="109" spans="1:45">
      <c r="A109" s="168"/>
      <c r="B109" s="976"/>
      <c r="C109" s="976"/>
      <c r="D109" s="976"/>
      <c r="E109" s="976"/>
      <c r="F109" s="976"/>
      <c r="G109" s="976"/>
      <c r="H109" s="976"/>
      <c r="I109" s="976"/>
      <c r="J109" s="976"/>
      <c r="K109" s="976"/>
      <c r="L109" s="976"/>
      <c r="M109" s="976"/>
      <c r="N109" s="976"/>
      <c r="O109" s="976"/>
      <c r="P109" s="976"/>
      <c r="Q109" s="976"/>
      <c r="R109" s="848"/>
      <c r="S109" s="26"/>
      <c r="T109" s="26"/>
      <c r="U109" s="26"/>
      <c r="V109" s="26"/>
      <c r="W109" s="26"/>
      <c r="X109" s="26"/>
      <c r="Y109" s="26"/>
      <c r="Z109" s="26"/>
      <c r="AA109" s="26"/>
      <c r="AB109" s="26"/>
      <c r="AC109" s="26"/>
      <c r="AD109" s="26"/>
      <c r="AE109" s="26"/>
      <c r="AF109" s="26"/>
      <c r="AG109" s="26"/>
      <c r="AH109" s="26"/>
      <c r="AI109" s="26"/>
      <c r="AJ109" s="26"/>
      <c r="AK109" s="638"/>
      <c r="AL109" s="318"/>
      <c r="AM109" s="318"/>
      <c r="AN109" s="318"/>
      <c r="AO109" s="318"/>
      <c r="AP109" s="318"/>
      <c r="AQ109" s="318"/>
      <c r="AR109" s="318"/>
      <c r="AS109" s="643"/>
    </row>
    <row r="110" spans="1:45">
      <c r="A110" s="168"/>
      <c r="B110" s="976"/>
      <c r="C110" s="976"/>
      <c r="D110" s="976"/>
      <c r="E110" s="976"/>
      <c r="F110" s="976"/>
      <c r="G110" s="976"/>
      <c r="H110" s="976"/>
      <c r="I110" s="976"/>
      <c r="J110" s="976"/>
      <c r="K110" s="976"/>
      <c r="L110" s="976"/>
      <c r="M110" s="976"/>
      <c r="N110" s="976"/>
      <c r="O110" s="976"/>
      <c r="P110" s="976"/>
      <c r="Q110" s="976"/>
      <c r="R110" s="848"/>
      <c r="S110" s="26"/>
      <c r="T110" s="26"/>
      <c r="U110" s="26"/>
      <c r="V110" s="26"/>
      <c r="W110" s="26"/>
      <c r="X110" s="26"/>
      <c r="Y110" s="26"/>
      <c r="Z110" s="26"/>
      <c r="AA110" s="26"/>
      <c r="AB110" s="26"/>
      <c r="AC110" s="26"/>
      <c r="AD110" s="26"/>
      <c r="AE110" s="26"/>
      <c r="AF110" s="26"/>
      <c r="AG110" s="26"/>
      <c r="AH110" s="26"/>
      <c r="AI110" s="26"/>
      <c r="AJ110" s="26"/>
      <c r="AK110" s="638"/>
      <c r="AL110" s="318"/>
      <c r="AM110" s="318"/>
      <c r="AN110" s="318"/>
      <c r="AO110" s="318"/>
      <c r="AP110" s="318"/>
      <c r="AQ110" s="318"/>
      <c r="AR110" s="318"/>
      <c r="AS110" s="643"/>
    </row>
    <row r="111" spans="1:45">
      <c r="A111" s="168"/>
      <c r="B111" s="976"/>
      <c r="C111" s="976"/>
      <c r="D111" s="976"/>
      <c r="E111" s="976"/>
      <c r="F111" s="976"/>
      <c r="G111" s="976"/>
      <c r="H111" s="976"/>
      <c r="I111" s="976"/>
      <c r="J111" s="976"/>
      <c r="K111" s="976"/>
      <c r="L111" s="976"/>
      <c r="M111" s="976"/>
      <c r="N111" s="976"/>
      <c r="O111" s="976"/>
      <c r="P111" s="976"/>
      <c r="Q111" s="976"/>
      <c r="R111" s="848"/>
      <c r="S111" s="26"/>
      <c r="T111" s="26"/>
      <c r="U111" s="26"/>
      <c r="V111" s="26"/>
      <c r="W111" s="26"/>
      <c r="X111" s="26"/>
      <c r="Y111" s="26"/>
      <c r="Z111" s="26"/>
      <c r="AA111" s="26"/>
      <c r="AB111" s="26"/>
      <c r="AC111" s="26"/>
      <c r="AD111" s="26"/>
      <c r="AE111" s="26"/>
      <c r="AF111" s="26"/>
      <c r="AG111" s="26"/>
      <c r="AH111" s="26"/>
      <c r="AI111" s="26"/>
      <c r="AJ111" s="26"/>
      <c r="AK111" s="638"/>
      <c r="AL111" s="318"/>
      <c r="AM111" s="318"/>
      <c r="AN111" s="318"/>
      <c r="AO111" s="318"/>
      <c r="AP111" s="318"/>
      <c r="AQ111" s="318"/>
      <c r="AR111" s="318"/>
      <c r="AS111" s="643"/>
    </row>
    <row r="112" spans="1:45">
      <c r="A112" s="168"/>
      <c r="B112" s="976"/>
      <c r="C112" s="976"/>
      <c r="D112" s="976"/>
      <c r="E112" s="976"/>
      <c r="F112" s="976"/>
      <c r="G112" s="976"/>
      <c r="H112" s="976"/>
      <c r="I112" s="976"/>
      <c r="J112" s="976"/>
      <c r="K112" s="976"/>
      <c r="L112" s="976"/>
      <c r="M112" s="976"/>
      <c r="N112" s="976"/>
      <c r="O112" s="976"/>
      <c r="P112" s="976"/>
      <c r="Q112" s="976"/>
      <c r="R112" s="848"/>
      <c r="S112" s="26"/>
      <c r="T112" s="26"/>
      <c r="U112" s="26"/>
      <c r="V112" s="26"/>
      <c r="W112" s="26"/>
      <c r="X112" s="26"/>
      <c r="Y112" s="26"/>
      <c r="Z112" s="26"/>
      <c r="AA112" s="26"/>
      <c r="AB112" s="26"/>
      <c r="AC112" s="26"/>
      <c r="AD112" s="26"/>
      <c r="AE112" s="26"/>
      <c r="AF112" s="26"/>
      <c r="AG112" s="26"/>
      <c r="AH112" s="26"/>
      <c r="AI112" s="26"/>
      <c r="AJ112" s="26"/>
      <c r="AK112" s="638"/>
      <c r="AL112" s="318"/>
      <c r="AM112" s="318"/>
      <c r="AN112" s="318"/>
      <c r="AO112" s="318"/>
      <c r="AP112" s="318"/>
      <c r="AQ112" s="318"/>
      <c r="AR112" s="318"/>
      <c r="AS112" s="643"/>
    </row>
    <row r="113" spans="1:45">
      <c r="A113" s="168"/>
      <c r="B113" s="976"/>
      <c r="C113" s="976"/>
      <c r="D113" s="976"/>
      <c r="E113" s="976"/>
      <c r="F113" s="976"/>
      <c r="G113" s="976"/>
      <c r="H113" s="976"/>
      <c r="I113" s="976"/>
      <c r="J113" s="976"/>
      <c r="K113" s="976"/>
      <c r="L113" s="976"/>
      <c r="M113" s="976"/>
      <c r="N113" s="976"/>
      <c r="O113" s="976"/>
      <c r="P113" s="976"/>
      <c r="Q113" s="976"/>
      <c r="R113" s="848"/>
      <c r="S113" s="26"/>
      <c r="T113" s="26"/>
      <c r="U113" s="26"/>
      <c r="V113" s="26"/>
      <c r="W113" s="26"/>
      <c r="X113" s="26"/>
      <c r="Y113" s="26"/>
      <c r="Z113" s="26"/>
      <c r="AA113" s="26"/>
      <c r="AB113" s="26"/>
      <c r="AC113" s="26"/>
      <c r="AD113" s="26"/>
      <c r="AE113" s="26"/>
      <c r="AF113" s="26"/>
      <c r="AG113" s="26"/>
      <c r="AH113" s="26"/>
      <c r="AI113" s="26"/>
      <c r="AJ113" s="26"/>
      <c r="AK113" s="638"/>
      <c r="AL113" s="318"/>
      <c r="AM113" s="318"/>
      <c r="AN113" s="318"/>
      <c r="AO113" s="318"/>
      <c r="AP113" s="318"/>
      <c r="AQ113" s="318"/>
      <c r="AR113" s="318"/>
      <c r="AS113" s="643"/>
    </row>
    <row r="114" spans="1:45">
      <c r="A114" s="168"/>
      <c r="B114" s="976"/>
      <c r="C114" s="976"/>
      <c r="D114" s="976"/>
      <c r="E114" s="976"/>
      <c r="F114" s="976"/>
      <c r="G114" s="976"/>
      <c r="H114" s="976"/>
      <c r="I114" s="976"/>
      <c r="J114" s="976"/>
      <c r="K114" s="976"/>
      <c r="L114" s="976"/>
      <c r="M114" s="976"/>
      <c r="N114" s="976"/>
      <c r="O114" s="976"/>
      <c r="P114" s="976"/>
      <c r="Q114" s="976"/>
      <c r="R114" s="848"/>
      <c r="S114" s="26"/>
      <c r="T114" s="26"/>
      <c r="U114" s="26"/>
      <c r="V114" s="26"/>
      <c r="W114" s="26"/>
      <c r="X114" s="26"/>
      <c r="Y114" s="26"/>
      <c r="Z114" s="26"/>
      <c r="AA114" s="26"/>
      <c r="AB114" s="26"/>
      <c r="AC114" s="26"/>
      <c r="AD114" s="26"/>
      <c r="AE114" s="26"/>
      <c r="AF114" s="26"/>
      <c r="AG114" s="26"/>
      <c r="AH114" s="26"/>
      <c r="AI114" s="26"/>
      <c r="AJ114" s="26"/>
      <c r="AK114" s="638"/>
      <c r="AL114" s="318"/>
      <c r="AM114" s="318"/>
      <c r="AN114" s="318"/>
      <c r="AO114" s="318"/>
      <c r="AP114" s="318"/>
      <c r="AQ114" s="318"/>
      <c r="AR114" s="318"/>
      <c r="AS114" s="643"/>
    </row>
    <row r="115" spans="1:45">
      <c r="A115" s="168"/>
      <c r="B115" s="976"/>
      <c r="C115" s="976"/>
      <c r="D115" s="976"/>
      <c r="E115" s="976"/>
      <c r="F115" s="976"/>
      <c r="G115" s="976"/>
      <c r="H115" s="976"/>
      <c r="I115" s="976"/>
      <c r="J115" s="976"/>
      <c r="K115" s="976"/>
      <c r="L115" s="976"/>
      <c r="M115" s="976"/>
      <c r="N115" s="976"/>
      <c r="O115" s="976"/>
      <c r="P115" s="976"/>
      <c r="Q115" s="976"/>
      <c r="R115" s="848"/>
      <c r="S115" s="26"/>
      <c r="T115" s="26"/>
      <c r="U115" s="26"/>
      <c r="V115" s="26"/>
      <c r="W115" s="26"/>
      <c r="X115" s="26"/>
      <c r="Y115" s="26"/>
      <c r="Z115" s="26"/>
      <c r="AA115" s="26"/>
      <c r="AB115" s="26"/>
      <c r="AC115" s="26"/>
      <c r="AD115" s="26"/>
      <c r="AE115" s="26"/>
      <c r="AF115" s="26"/>
      <c r="AG115" s="26"/>
      <c r="AH115" s="26"/>
      <c r="AI115" s="26"/>
      <c r="AJ115" s="26"/>
      <c r="AK115" s="638"/>
      <c r="AL115" s="318"/>
      <c r="AM115" s="318"/>
      <c r="AN115" s="318"/>
      <c r="AO115" s="318"/>
      <c r="AP115" s="318"/>
      <c r="AQ115" s="318"/>
      <c r="AR115" s="318"/>
      <c r="AS115" s="643"/>
    </row>
    <row r="116" spans="1:45">
      <c r="A116" s="903"/>
      <c r="B116" s="892"/>
      <c r="C116" s="892"/>
      <c r="D116" s="892"/>
      <c r="E116" s="892"/>
      <c r="F116" s="892"/>
      <c r="G116" s="892"/>
      <c r="H116" s="892"/>
      <c r="I116" s="892"/>
      <c r="J116" s="892"/>
      <c r="K116" s="892"/>
      <c r="L116" s="892"/>
      <c r="M116" s="892"/>
      <c r="N116" s="892"/>
      <c r="O116" s="892"/>
      <c r="P116" s="892"/>
      <c r="Q116" s="892"/>
      <c r="R116" s="977"/>
      <c r="S116" s="31"/>
      <c r="T116" s="31"/>
      <c r="U116" s="31"/>
      <c r="V116" s="31"/>
      <c r="W116" s="31"/>
      <c r="X116" s="31"/>
      <c r="Y116" s="31"/>
      <c r="Z116" s="31"/>
      <c r="AA116" s="31"/>
      <c r="AB116" s="31"/>
      <c r="AC116" s="31"/>
      <c r="AD116" s="31"/>
      <c r="AE116" s="31"/>
      <c r="AF116" s="31"/>
      <c r="AG116" s="31"/>
      <c r="AH116" s="31"/>
      <c r="AI116" s="31"/>
      <c r="AJ116" s="31"/>
      <c r="AK116" s="980"/>
      <c r="AL116" s="893"/>
      <c r="AM116" s="893"/>
      <c r="AN116" s="893"/>
      <c r="AO116" s="893"/>
      <c r="AP116" s="893"/>
      <c r="AQ116" s="893"/>
      <c r="AR116" s="893"/>
      <c r="AS116" s="982"/>
    </row>
  </sheetData>
  <sheetProtection algorithmName="SHA-512" hashValue="0YlLWP4v++fylIokpOZJqDHSvTqWuOC31WURpM+2u/HQ1lnY7Bqxa5yhBpLGyXrljOfTxVdUFRybU6vgnHHXuw==" saltValue="Qb2eGqoBPL8sQ9t1p/1w5w==" spinCount="100000" sheet="1" scenarios="1" insertHyperlinks="0"/>
  <protectedRanges>
    <protectedRange sqref="H7:I28" name="Bereich1"/>
    <protectedRange sqref="H36:J53" name="Bereich2"/>
    <protectedRange sqref="A62:AS116 S1:AS61" name="Bereich3"/>
  </protectedRanges>
  <mergeCells count="117">
    <mergeCell ref="H39:J39"/>
    <mergeCell ref="H40:J40"/>
    <mergeCell ref="H41:J41"/>
    <mergeCell ref="B43:C43"/>
    <mergeCell ref="B44:C44"/>
    <mergeCell ref="H55:J56"/>
    <mergeCell ref="E55:G56"/>
    <mergeCell ref="D42:G42"/>
    <mergeCell ref="D43:G43"/>
    <mergeCell ref="D44:G44"/>
    <mergeCell ref="D45:G45"/>
    <mergeCell ref="H53:J53"/>
    <mergeCell ref="H49:J49"/>
    <mergeCell ref="H48:J48"/>
    <mergeCell ref="D46:G46"/>
    <mergeCell ref="D47:G47"/>
    <mergeCell ref="K48:L48"/>
    <mergeCell ref="K50:L50"/>
    <mergeCell ref="K53:L53"/>
    <mergeCell ref="K49:L49"/>
    <mergeCell ref="M53:N53"/>
    <mergeCell ref="M49:N49"/>
    <mergeCell ref="K36:L36"/>
    <mergeCell ref="K37:L37"/>
    <mergeCell ref="K38:L38"/>
    <mergeCell ref="K51:L51"/>
    <mergeCell ref="K52:L52"/>
    <mergeCell ref="O48:Q48"/>
    <mergeCell ref="O50:Q50"/>
    <mergeCell ref="O53:Q53"/>
    <mergeCell ref="O49:Q49"/>
    <mergeCell ref="M36:N36"/>
    <mergeCell ref="M37:N37"/>
    <mergeCell ref="M38:N38"/>
    <mergeCell ref="M39:N39"/>
    <mergeCell ref="M40:N40"/>
    <mergeCell ref="M41:N41"/>
    <mergeCell ref="M45:N45"/>
    <mergeCell ref="M48:N48"/>
    <mergeCell ref="M50:N50"/>
    <mergeCell ref="O40:Q40"/>
    <mergeCell ref="O41:Q41"/>
    <mergeCell ref="O36:Q36"/>
    <mergeCell ref="O51:Q51"/>
    <mergeCell ref="O52:Q52"/>
    <mergeCell ref="H11:I11"/>
    <mergeCell ref="H8:I8"/>
    <mergeCell ref="H9:I9"/>
    <mergeCell ref="H16:I16"/>
    <mergeCell ref="H10:I10"/>
    <mergeCell ref="H13:I13"/>
    <mergeCell ref="H12:I12"/>
    <mergeCell ref="M51:N51"/>
    <mergeCell ref="M52:N52"/>
    <mergeCell ref="K39:L39"/>
    <mergeCell ref="K40:L40"/>
    <mergeCell ref="K41:L41"/>
    <mergeCell ref="K45:L45"/>
    <mergeCell ref="K46:L46"/>
    <mergeCell ref="K42:L42"/>
    <mergeCell ref="K43:L43"/>
    <mergeCell ref="K44:L44"/>
    <mergeCell ref="H50:J50"/>
    <mergeCell ref="H51:J51"/>
    <mergeCell ref="H52:J52"/>
    <mergeCell ref="H33:J34"/>
    <mergeCell ref="H36:J36"/>
    <mergeCell ref="H37:J37"/>
    <mergeCell ref="H38:J38"/>
    <mergeCell ref="B31:Q31"/>
    <mergeCell ref="B33:G35"/>
    <mergeCell ref="K33:L35"/>
    <mergeCell ref="M33:N35"/>
    <mergeCell ref="O33:Q35"/>
    <mergeCell ref="M46:N46"/>
    <mergeCell ref="M47:N47"/>
    <mergeCell ref="M42:N42"/>
    <mergeCell ref="M43:N43"/>
    <mergeCell ref="M44:N44"/>
    <mergeCell ref="O37:Q37"/>
    <mergeCell ref="O38:Q38"/>
    <mergeCell ref="K47:L47"/>
    <mergeCell ref="O47:Q47"/>
    <mergeCell ref="O42:Q42"/>
    <mergeCell ref="O43:Q43"/>
    <mergeCell ref="O44:Q44"/>
    <mergeCell ref="O45:Q45"/>
    <mergeCell ref="O46:Q46"/>
    <mergeCell ref="B47:C47"/>
    <mergeCell ref="O39:Q39"/>
    <mergeCell ref="B42:C42"/>
    <mergeCell ref="B45:C45"/>
    <mergeCell ref="B46:C46"/>
    <mergeCell ref="A1:R1"/>
    <mergeCell ref="S1:AK3"/>
    <mergeCell ref="A60:R61"/>
    <mergeCell ref="B55:D56"/>
    <mergeCell ref="O3:R3"/>
    <mergeCell ref="B30:R30"/>
    <mergeCell ref="B29:R29"/>
    <mergeCell ref="H25:I25"/>
    <mergeCell ref="H26:I26"/>
    <mergeCell ref="H27:I27"/>
    <mergeCell ref="H28:I28"/>
    <mergeCell ref="H7:I7"/>
    <mergeCell ref="D3:J3"/>
    <mergeCell ref="A5:R6"/>
    <mergeCell ref="H24:I24"/>
    <mergeCell ref="H14:I14"/>
    <mergeCell ref="H18:I18"/>
    <mergeCell ref="H15:I15"/>
    <mergeCell ref="H23:I23"/>
    <mergeCell ref="H17:I17"/>
    <mergeCell ref="H22:I22"/>
    <mergeCell ref="H19:I19"/>
    <mergeCell ref="H20:I20"/>
    <mergeCell ref="H21:I21"/>
  </mergeCells>
  <phoneticPr fontId="0" type="noConversion"/>
  <conditionalFormatting sqref="E55">
    <cfRule type="expression" dxfId="114" priority="72" stopIfTrue="1">
      <formula>E55="No compliance shown"</formula>
    </cfRule>
    <cfRule type="expression" dxfId="113" priority="73" stopIfTrue="1">
      <formula>E55="Yes"</formula>
    </cfRule>
  </conditionalFormatting>
  <conditionalFormatting sqref="H36:H41">
    <cfRule type="cellIs" dxfId="112" priority="37" operator="equal">
      <formula>" "</formula>
    </cfRule>
  </conditionalFormatting>
  <conditionalFormatting sqref="H48:H53">
    <cfRule type="cellIs" dxfId="111" priority="50" operator="equal">
      <formula>" "</formula>
    </cfRule>
  </conditionalFormatting>
  <conditionalFormatting sqref="H55">
    <cfRule type="expression" dxfId="110" priority="1" stopIfTrue="1">
      <formula>H55&lt;&gt;"Compliance shown"</formula>
    </cfRule>
    <cfRule type="expression" dxfId="109" priority="2" stopIfTrue="1">
      <formula>H55="Compliance shown"</formula>
    </cfRule>
  </conditionalFormatting>
  <conditionalFormatting sqref="H8:I8">
    <cfRule type="expression" dxfId="108" priority="96" stopIfTrue="1">
      <formula>H7="other"</formula>
    </cfRule>
    <cfRule type="expression" dxfId="107" priority="97" stopIfTrue="1">
      <formula>AND(H7="aluminium",H8&lt;3.2)</formula>
    </cfRule>
    <cfRule type="expression" dxfId="106" priority="98" stopIfTrue="1">
      <formula>AND(H7="aluminium",H8&gt;=3.2)</formula>
    </cfRule>
    <cfRule type="expression" dxfId="105" priority="99" stopIfTrue="1">
      <formula>AND(H7="steel",H8&lt;1.25)</formula>
    </cfRule>
    <cfRule type="expression" dxfId="104" priority="100" stopIfTrue="1">
      <formula>AND(H7="steel",H8&gt;=1.25)</formula>
    </cfRule>
  </conditionalFormatting>
  <conditionalFormatting sqref="H11:I11">
    <cfRule type="expression" dxfId="103" priority="91" stopIfTrue="1">
      <formula>H10="other"</formula>
    </cfRule>
    <cfRule type="expression" dxfId="102" priority="92" stopIfTrue="1">
      <formula>AND(H10="aluminium",H11&lt;2.3)</formula>
    </cfRule>
    <cfRule type="expression" dxfId="101" priority="93" stopIfTrue="1">
      <formula>AND(H10="aluminium",H11&gt;=2.3)</formula>
    </cfRule>
    <cfRule type="expression" dxfId="100" priority="94" stopIfTrue="1">
      <formula>AND(H10="steel",H11&lt;0.9)</formula>
    </cfRule>
    <cfRule type="expression" dxfId="99" priority="95" stopIfTrue="1">
      <formula>AND(H10="steel",H11&gt;=0.9)</formula>
    </cfRule>
  </conditionalFormatting>
  <conditionalFormatting sqref="H14:I14">
    <cfRule type="expression" dxfId="98" priority="86" stopIfTrue="1">
      <formula>H13="other"</formula>
    </cfRule>
    <cfRule type="expression" dxfId="97" priority="87" stopIfTrue="1">
      <formula>AND(H13="aluminium",H14&lt;2.3)</formula>
    </cfRule>
    <cfRule type="expression" dxfId="96" priority="88" stopIfTrue="1">
      <formula>AND(H13="aluminium",H14&gt;=2.3)</formula>
    </cfRule>
    <cfRule type="expression" dxfId="95" priority="89" stopIfTrue="1">
      <formula>AND(H13="steel",H14&lt;0.9)</formula>
    </cfRule>
    <cfRule type="expression" dxfId="94" priority="90" stopIfTrue="1">
      <formula>AND(H13="steel",H14&gt;=0.9)</formula>
    </cfRule>
  </conditionalFormatting>
  <conditionalFormatting sqref="H15:I15">
    <cfRule type="expression" dxfId="93" priority="79" stopIfTrue="1">
      <formula>H15&gt;=0.75*H12</formula>
    </cfRule>
    <cfRule type="expression" dxfId="92" priority="80" stopIfTrue="1">
      <formula>H15&lt;0.75*H12</formula>
    </cfRule>
  </conditionalFormatting>
  <conditionalFormatting sqref="H17:I17">
    <cfRule type="expression" dxfId="91" priority="81" stopIfTrue="1">
      <formula>H16="other"</formula>
    </cfRule>
    <cfRule type="expression" dxfId="90" priority="82" stopIfTrue="1">
      <formula>AND(H16="aluminium",H17&lt;2.3)</formula>
    </cfRule>
    <cfRule type="expression" dxfId="89" priority="83" stopIfTrue="1">
      <formula>AND(H16="aluminium",H17&gt;=2.3)</formula>
    </cfRule>
    <cfRule type="expression" dxfId="88" priority="84" stopIfTrue="1">
      <formula>AND(H16="steel",H17&lt;0.9)</formula>
    </cfRule>
    <cfRule type="expression" dxfId="87" priority="85" stopIfTrue="1">
      <formula>AND(H16="steel",H17&gt;=0.9)</formula>
    </cfRule>
  </conditionalFormatting>
  <conditionalFormatting sqref="H36:J41">
    <cfRule type="cellIs" dxfId="86" priority="34" stopIfTrue="1" operator="equal">
      <formula>"Yes"</formula>
    </cfRule>
    <cfRule type="cellIs" dxfId="85" priority="35" stopIfTrue="1" operator="equal">
      <formula>"n.a."</formula>
    </cfRule>
    <cfRule type="cellIs" dxfId="84" priority="36" stopIfTrue="1" operator="equal">
      <formula>"No"</formula>
    </cfRule>
  </conditionalFormatting>
  <conditionalFormatting sqref="H39:J39">
    <cfRule type="expression" dxfId="83" priority="30">
      <formula>H39="N/A"</formula>
    </cfRule>
  </conditionalFormatting>
  <conditionalFormatting sqref="H42:J47">
    <cfRule type="cellIs" dxfId="82" priority="7" operator="equal">
      <formula>" "</formula>
    </cfRule>
  </conditionalFormatting>
  <conditionalFormatting sqref="H42:J53">
    <cfRule type="cellIs" dxfId="81" priority="4" stopIfTrue="1" operator="equal">
      <formula>"Yes"</formula>
    </cfRule>
    <cfRule type="cellIs" dxfId="80" priority="5" stopIfTrue="1" operator="equal">
      <formula>"n.a."</formula>
    </cfRule>
    <cfRule type="cellIs" dxfId="79" priority="6" stopIfTrue="1" operator="equal">
      <formula>"No"</formula>
    </cfRule>
  </conditionalFormatting>
  <conditionalFormatting sqref="H43:J44">
    <cfRule type="expression" dxfId="78" priority="3">
      <formula>H43="N/A"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H36:J38 H40:J42 H45:J53" xr:uid="{00000000-0002-0000-1D00-000003000000}">
      <formula1>"No, Yes"</formula1>
    </dataValidation>
    <dataValidation type="list" allowBlank="1" showInputMessage="1" showErrorMessage="1" sqref="H39:J39 H43:J44" xr:uid="{B3BE7064-25A7-4698-BA61-187E4F67CD66}">
      <formula1>"No, Yes,N/A"</formula1>
    </dataValidation>
  </dataValidations>
  <hyperlinks>
    <hyperlink ref="M56" location="'Cover Sheet'!A1" display="BACK to COVER SHEET" xr:uid="{00000000-0004-0000-1D00-000000000000}"/>
    <hyperlink ref="M15:Q15" location="'Cover Sheet'!A1" display="BACK to COVER SHEET" xr:uid="{00000000-0004-0000-1D00-000001000000}"/>
    <hyperlink ref="B42:C47" location="'EV5.5.8 Guidance Notes'!A1" display="EV5.5.8 " xr:uid="{848A9EC0-8020-431F-AEC8-1497237F058E}"/>
    <hyperlink ref="B37" location="'EV5.5.3 Guidance Notes'!A1" display="EV5.5.3" xr:uid="{78C2AD69-36F7-4BF3-90E5-7A433B574B37}"/>
    <hyperlink ref="B49" location="'EV5.5.12 Guidance Notes'!A1" display="EV5.5.12" xr:uid="{0F063D9C-1DF0-4644-9916-57637B8CD675}"/>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3"/>
  <sheetViews>
    <sheetView showGridLines="0" view="pageBreakPreview" zoomScaleNormal="100" zoomScaleSheetLayoutView="100" workbookViewId="0">
      <selection sqref="A1:S1"/>
    </sheetView>
  </sheetViews>
  <sheetFormatPr baseColWidth="10" defaultColWidth="11.46484375" defaultRowHeight="12.75"/>
  <cols>
    <col min="1" max="26" width="5" style="123" customWidth="1"/>
    <col min="27" max="27" width="6.46484375" style="123" customWidth="1"/>
    <col min="28" max="28" width="6.6640625" style="123" customWidth="1"/>
    <col min="29" max="29" width="6.1328125" style="123" customWidth="1"/>
    <col min="30" max="30" width="6.6640625" style="123" customWidth="1"/>
    <col min="31" max="31" width="6.86328125" style="123" customWidth="1"/>
    <col min="32" max="32" width="6" style="123" customWidth="1"/>
    <col min="33" max="35" width="5" style="123" customWidth="1"/>
    <col min="36" max="16384" width="11.46484375" style="123"/>
  </cols>
  <sheetData>
    <row r="1" spans="1:36" ht="14.25" customHeight="1">
      <c r="A1" s="1474" t="s">
        <v>640</v>
      </c>
      <c r="B1" s="1237"/>
      <c r="C1" s="1237"/>
      <c r="D1" s="1237"/>
      <c r="E1" s="1237"/>
      <c r="F1" s="1237"/>
      <c r="G1" s="1237"/>
      <c r="H1" s="1237"/>
      <c r="I1" s="1237"/>
      <c r="J1" s="1237"/>
      <c r="K1" s="1237"/>
      <c r="L1" s="1237"/>
      <c r="M1" s="1237"/>
      <c r="N1" s="1237"/>
      <c r="O1" s="1237"/>
      <c r="P1" s="1237"/>
      <c r="Q1" s="1237"/>
      <c r="R1" s="1237"/>
      <c r="S1" s="1237"/>
      <c r="T1" s="338"/>
      <c r="U1" s="338"/>
      <c r="V1" s="338"/>
      <c r="W1" s="338"/>
      <c r="X1" s="338"/>
      <c r="Y1" s="338"/>
      <c r="Z1" s="338"/>
      <c r="AA1" s="338"/>
      <c r="AB1" s="338"/>
      <c r="AC1" s="338"/>
      <c r="AD1" s="338"/>
      <c r="AE1" s="338"/>
      <c r="AF1" s="338"/>
      <c r="AG1" s="338"/>
      <c r="AH1" s="338"/>
      <c r="AI1" s="338"/>
      <c r="AJ1" s="125"/>
    </row>
    <row r="2" spans="1:36">
      <c r="A2" s="412"/>
      <c r="S2" s="759"/>
      <c r="T2" s="339"/>
      <c r="U2" s="339"/>
      <c r="V2" s="339"/>
      <c r="W2" s="339"/>
      <c r="X2" s="339"/>
      <c r="Y2" s="339"/>
      <c r="Z2" s="339"/>
      <c r="AA2" s="339"/>
      <c r="AB2" s="339"/>
      <c r="AC2" s="339"/>
      <c r="AD2" s="339"/>
      <c r="AE2" s="339"/>
      <c r="AF2" s="339"/>
      <c r="AG2" s="339"/>
      <c r="AH2" s="339"/>
      <c r="AI2" s="340"/>
    </row>
    <row r="3" spans="1:36">
      <c r="A3" s="412" t="s">
        <v>39</v>
      </c>
      <c r="D3" s="1471" t="str">
        <f>IF('Cover Sheet'!D14:J14&gt;0,'Cover Sheet'!D14:J14,"")</f>
        <v>Ecole Centrale Lyon</v>
      </c>
      <c r="E3" s="1471"/>
      <c r="F3" s="1471"/>
      <c r="G3" s="1471"/>
      <c r="H3" s="1471"/>
      <c r="I3" s="1471"/>
      <c r="J3" s="1471"/>
      <c r="K3" s="123" t="s">
        <v>40</v>
      </c>
      <c r="O3" s="1471" t="str">
        <f>IF('Cover Sheet'!O14:S14&gt;0,'Cover Sheet'!O14:S14,"")</f>
        <v>81 FSCH</v>
      </c>
      <c r="P3" s="1471"/>
      <c r="Q3" s="1471"/>
      <c r="R3" s="1471"/>
      <c r="S3" s="759"/>
      <c r="T3" s="339"/>
      <c r="U3" s="339"/>
      <c r="V3" s="339"/>
      <c r="W3" s="339"/>
      <c r="X3" s="339"/>
      <c r="Y3" s="339"/>
      <c r="Z3" s="339"/>
      <c r="AA3" s="339"/>
      <c r="AB3" s="339"/>
      <c r="AC3" s="339"/>
      <c r="AD3" s="339"/>
      <c r="AE3" s="339"/>
      <c r="AF3" s="339"/>
      <c r="AG3" s="339"/>
      <c r="AH3" s="339"/>
      <c r="AI3" s="341"/>
    </row>
    <row r="4" spans="1:36">
      <c r="A4" s="412"/>
      <c r="D4" s="418"/>
      <c r="E4" s="418"/>
      <c r="F4" s="418"/>
      <c r="G4" s="418"/>
      <c r="H4" s="418"/>
      <c r="I4" s="418"/>
      <c r="J4" s="418"/>
      <c r="O4" s="418"/>
      <c r="P4" s="418"/>
      <c r="Q4" s="418"/>
      <c r="R4" s="418"/>
      <c r="S4" s="759"/>
      <c r="T4" s="339"/>
      <c r="U4" s="339"/>
      <c r="V4" s="339"/>
      <c r="W4" s="339"/>
      <c r="X4" s="339"/>
      <c r="Y4" s="339"/>
      <c r="Z4" s="339"/>
      <c r="AA4" s="339"/>
      <c r="AB4" s="339"/>
      <c r="AC4" s="339"/>
      <c r="AD4" s="339"/>
      <c r="AE4" s="339"/>
      <c r="AF4" s="339"/>
      <c r="AG4" s="339"/>
      <c r="AH4" s="339"/>
      <c r="AI4" s="342"/>
    </row>
    <row r="5" spans="1:36" ht="12.75" customHeight="1">
      <c r="A5" s="1495" t="s">
        <v>641</v>
      </c>
      <c r="B5" s="1496"/>
      <c r="C5" s="1496"/>
      <c r="D5" s="1496"/>
      <c r="E5" s="1496"/>
      <c r="F5" s="1496"/>
      <c r="G5" s="1496"/>
      <c r="H5" s="1496"/>
      <c r="I5" s="1496"/>
      <c r="J5" s="1496"/>
      <c r="K5" s="1496"/>
      <c r="L5" s="1496"/>
      <c r="M5" s="1496"/>
      <c r="N5" s="1496"/>
      <c r="O5" s="1496"/>
      <c r="P5" s="1496"/>
      <c r="Q5" s="1496"/>
      <c r="R5" s="1496"/>
      <c r="S5" s="1497"/>
      <c r="T5" s="339"/>
      <c r="U5" s="339"/>
      <c r="V5" s="339"/>
      <c r="W5" s="339"/>
      <c r="X5" s="339"/>
      <c r="Y5" s="339"/>
      <c r="Z5" s="339"/>
      <c r="AA5" s="339"/>
      <c r="AB5" s="339"/>
      <c r="AC5" s="339"/>
      <c r="AD5" s="339"/>
      <c r="AE5" s="339"/>
      <c r="AF5" s="339"/>
      <c r="AG5" s="339"/>
      <c r="AH5" s="339"/>
      <c r="AI5" s="341"/>
    </row>
    <row r="6" spans="1:36">
      <c r="A6" s="1495"/>
      <c r="B6" s="1496"/>
      <c r="C6" s="1496"/>
      <c r="D6" s="1496"/>
      <c r="E6" s="1496"/>
      <c r="F6" s="1496"/>
      <c r="G6" s="1496"/>
      <c r="H6" s="1496"/>
      <c r="I6" s="1496"/>
      <c r="J6" s="1496"/>
      <c r="K6" s="1496"/>
      <c r="L6" s="1496"/>
      <c r="M6" s="1496"/>
      <c r="N6" s="1496"/>
      <c r="O6" s="1496"/>
      <c r="P6" s="1496"/>
      <c r="Q6" s="1496"/>
      <c r="R6" s="1496"/>
      <c r="S6" s="1497"/>
      <c r="T6" s="339"/>
      <c r="U6" s="341"/>
      <c r="V6" s="341"/>
      <c r="W6" s="341"/>
      <c r="X6" s="341"/>
      <c r="Y6" s="341"/>
      <c r="Z6" s="341"/>
      <c r="AA6" s="341"/>
      <c r="AB6" s="341"/>
      <c r="AC6" s="341"/>
      <c r="AD6" s="341"/>
      <c r="AE6" s="341"/>
      <c r="AF6" s="341"/>
      <c r="AG6" s="341"/>
      <c r="AH6" s="341"/>
      <c r="AI6" s="341"/>
    </row>
    <row r="7" spans="1:36" ht="12.75" customHeight="1">
      <c r="A7" s="410"/>
      <c r="B7" s="411"/>
      <c r="C7" s="411"/>
      <c r="D7" s="411"/>
      <c r="H7" s="1472"/>
      <c r="I7" s="1472"/>
      <c r="J7" s="409" t="str">
        <f>IF(H8="other","Elaborate on cell type","")</f>
        <v>Elaborate on cell type</v>
      </c>
      <c r="K7" s="409"/>
      <c r="L7" s="409"/>
      <c r="M7" s="411"/>
      <c r="N7" s="411"/>
      <c r="O7" s="411"/>
      <c r="P7" s="411"/>
      <c r="Q7" s="411"/>
      <c r="R7" s="411"/>
      <c r="S7" s="760"/>
      <c r="T7" s="344"/>
      <c r="U7" s="344"/>
      <c r="V7" s="344"/>
      <c r="W7" s="344"/>
      <c r="X7" s="344"/>
      <c r="Y7" s="344"/>
      <c r="Z7" s="344"/>
      <c r="AA7" s="344"/>
      <c r="AB7" s="344"/>
      <c r="AC7" s="344"/>
      <c r="AD7" s="344"/>
      <c r="AE7" s="344"/>
      <c r="AF7" s="344"/>
      <c r="AG7" s="344"/>
      <c r="AH7" s="344"/>
      <c r="AI7" s="341"/>
    </row>
    <row r="8" spans="1:36" ht="12.75" customHeight="1">
      <c r="A8" s="410"/>
      <c r="B8" s="1475" t="s">
        <v>642</v>
      </c>
      <c r="C8" s="1476"/>
      <c r="D8" s="1476"/>
      <c r="E8" s="1476"/>
      <c r="F8" s="1476"/>
      <c r="G8" s="1477"/>
      <c r="H8" s="1473" t="s">
        <v>643</v>
      </c>
      <c r="I8" s="1473"/>
      <c r="J8" s="410"/>
      <c r="K8" s="411"/>
      <c r="L8" s="145" t="s">
        <v>219</v>
      </c>
      <c r="M8" s="411"/>
      <c r="N8" s="411"/>
      <c r="O8" s="411"/>
      <c r="P8" s="411"/>
      <c r="Q8" s="411"/>
      <c r="R8" s="411"/>
      <c r="S8" s="760"/>
      <c r="T8" s="345"/>
      <c r="U8" s="344"/>
      <c r="V8" s="344"/>
      <c r="W8" s="344"/>
      <c r="X8" s="344"/>
      <c r="Y8" s="344"/>
      <c r="Z8" s="344"/>
      <c r="AA8" s="344"/>
      <c r="AB8" s="344"/>
      <c r="AC8" s="344"/>
      <c r="AD8" s="344"/>
      <c r="AE8" s="344"/>
      <c r="AF8" s="344"/>
      <c r="AG8" s="344"/>
      <c r="AH8" s="344"/>
      <c r="AI8" s="341"/>
    </row>
    <row r="9" spans="1:36" ht="12.75" customHeight="1">
      <c r="A9" s="410"/>
      <c r="B9" s="411"/>
      <c r="C9" s="411"/>
      <c r="D9" s="411"/>
      <c r="H9" s="1479"/>
      <c r="I9" s="1479"/>
      <c r="J9" s="411"/>
      <c r="K9" s="411"/>
      <c r="L9" s="411"/>
      <c r="M9" s="411"/>
      <c r="N9" s="411"/>
      <c r="O9" s="411"/>
      <c r="P9" s="411"/>
      <c r="Q9" s="411"/>
      <c r="R9" s="411"/>
      <c r="S9" s="760"/>
      <c r="T9" s="345"/>
      <c r="U9" s="344"/>
      <c r="V9" s="344"/>
      <c r="W9" s="344"/>
      <c r="X9" s="344"/>
      <c r="Y9" s="344"/>
      <c r="Z9" s="344"/>
      <c r="AA9" s="344"/>
      <c r="AB9" s="344"/>
      <c r="AC9" s="344"/>
      <c r="AD9" s="344"/>
      <c r="AE9" s="344"/>
      <c r="AF9" s="344"/>
      <c r="AG9" s="344"/>
      <c r="AH9" s="344"/>
      <c r="AI9" s="341"/>
    </row>
    <row r="10" spans="1:36" ht="12.75" customHeight="1">
      <c r="A10" s="412"/>
      <c r="B10" s="1498" t="s">
        <v>596</v>
      </c>
      <c r="C10" s="1499"/>
      <c r="D10" s="1499"/>
      <c r="E10" s="1499"/>
      <c r="F10" s="1499"/>
      <c r="G10" s="1499"/>
      <c r="H10" s="1500"/>
      <c r="I10" s="1480" t="s">
        <v>597</v>
      </c>
      <c r="J10" s="1481"/>
      <c r="K10" s="1482"/>
      <c r="L10" s="1484" t="s">
        <v>598</v>
      </c>
      <c r="M10" s="1485"/>
      <c r="N10" s="1484" t="s">
        <v>644</v>
      </c>
      <c r="O10" s="1485"/>
      <c r="P10" s="1484" t="s">
        <v>600</v>
      </c>
      <c r="Q10" s="1492"/>
      <c r="R10" s="1492"/>
      <c r="S10" s="763"/>
      <c r="T10" s="345"/>
      <c r="U10" s="344"/>
      <c r="V10" s="344"/>
      <c r="W10" s="344"/>
      <c r="X10" s="344"/>
      <c r="Y10" s="344"/>
      <c r="Z10" s="344"/>
      <c r="AA10" s="344"/>
      <c r="AB10" s="344"/>
      <c r="AC10" s="344"/>
      <c r="AD10" s="344"/>
      <c r="AE10" s="344"/>
      <c r="AF10" s="344"/>
      <c r="AG10" s="344"/>
      <c r="AH10" s="344"/>
      <c r="AI10" s="341"/>
    </row>
    <row r="11" spans="1:36" ht="12.75" customHeight="1">
      <c r="A11" s="412"/>
      <c r="B11" s="1501"/>
      <c r="C11" s="1502"/>
      <c r="D11" s="1502"/>
      <c r="E11" s="1502"/>
      <c r="F11" s="1502"/>
      <c r="G11" s="1502"/>
      <c r="H11" s="1500"/>
      <c r="I11" s="1480"/>
      <c r="J11" s="1480"/>
      <c r="K11" s="1483"/>
      <c r="L11" s="1486"/>
      <c r="M11" s="1487"/>
      <c r="N11" s="1486"/>
      <c r="O11" s="1487"/>
      <c r="P11" s="1486"/>
      <c r="Q11" s="1493"/>
      <c r="R11" s="1493"/>
      <c r="S11" s="763"/>
      <c r="T11" s="345"/>
      <c r="U11" s="344"/>
      <c r="V11" s="344"/>
      <c r="W11" s="344"/>
      <c r="X11" s="344"/>
      <c r="Y11" s="344"/>
      <c r="Z11" s="344"/>
      <c r="AA11" s="344"/>
      <c r="AB11" s="344"/>
      <c r="AC11" s="344"/>
      <c r="AD11" s="344"/>
      <c r="AE11" s="344"/>
      <c r="AF11" s="344"/>
      <c r="AG11" s="344"/>
      <c r="AH11" s="344"/>
      <c r="AI11" s="341"/>
    </row>
    <row r="12" spans="1:36" ht="12.75" customHeight="1">
      <c r="A12" s="412"/>
      <c r="B12" s="1503"/>
      <c r="C12" s="1504"/>
      <c r="D12" s="1504"/>
      <c r="E12" s="1504"/>
      <c r="F12" s="1504"/>
      <c r="G12" s="1504"/>
      <c r="H12" s="1505"/>
      <c r="I12" s="849" t="s">
        <v>601</v>
      </c>
      <c r="J12" s="758" t="s">
        <v>602</v>
      </c>
      <c r="K12" s="758" t="s">
        <v>603</v>
      </c>
      <c r="L12" s="1488"/>
      <c r="M12" s="1489"/>
      <c r="N12" s="1488"/>
      <c r="O12" s="1489"/>
      <c r="P12" s="1488"/>
      <c r="Q12" s="1494"/>
      <c r="R12" s="1494"/>
      <c r="S12" s="763"/>
      <c r="T12" s="345"/>
      <c r="U12" s="344"/>
      <c r="V12" s="344"/>
      <c r="W12" s="344"/>
      <c r="X12" s="344"/>
      <c r="Y12" s="344"/>
      <c r="Z12" s="344"/>
      <c r="AA12" s="344"/>
      <c r="AB12" s="344"/>
      <c r="AC12" s="344"/>
      <c r="AD12" s="344"/>
      <c r="AE12" s="344"/>
      <c r="AF12" s="344"/>
      <c r="AG12" s="344"/>
      <c r="AH12" s="344"/>
      <c r="AI12" s="341"/>
    </row>
    <row r="13" spans="1:36">
      <c r="A13" s="412"/>
      <c r="B13" s="988" t="s">
        <v>608</v>
      </c>
      <c r="C13" s="950"/>
      <c r="D13" s="951" t="s">
        <v>645</v>
      </c>
      <c r="E13" s="951"/>
      <c r="F13" s="951"/>
      <c r="G13" s="951"/>
      <c r="H13" s="952"/>
      <c r="I13" s="1490" t="s">
        <v>122</v>
      </c>
      <c r="J13" s="1491"/>
      <c r="K13" s="1491"/>
      <c r="L13" s="1428" t="s">
        <v>607</v>
      </c>
      <c r="M13" s="1428"/>
      <c r="N13" s="1430" t="s">
        <v>606</v>
      </c>
      <c r="O13" s="1431"/>
      <c r="P13" s="1429" t="s">
        <v>607</v>
      </c>
      <c r="Q13" s="1429"/>
      <c r="R13" s="1478"/>
      <c r="S13" s="763"/>
      <c r="T13" s="339"/>
      <c r="U13" s="339"/>
      <c r="V13" s="339"/>
      <c r="W13" s="339"/>
      <c r="X13" s="339"/>
      <c r="Y13" s="339"/>
      <c r="Z13" s="339"/>
      <c r="AA13" s="339"/>
      <c r="AB13" s="339"/>
      <c r="AC13" s="339"/>
      <c r="AD13" s="339"/>
      <c r="AE13" s="339"/>
      <c r="AF13" s="339"/>
      <c r="AG13" s="339"/>
      <c r="AH13" s="339"/>
      <c r="AI13" s="341"/>
    </row>
    <row r="14" spans="1:36" ht="12.75" customHeight="1">
      <c r="A14" s="412"/>
      <c r="B14" s="987" t="s">
        <v>646</v>
      </c>
      <c r="C14" s="961"/>
      <c r="D14" s="964" t="s">
        <v>647</v>
      </c>
      <c r="E14" s="962"/>
      <c r="F14" s="962"/>
      <c r="G14" s="962"/>
      <c r="H14" s="963"/>
      <c r="I14" s="1442" t="s">
        <v>122</v>
      </c>
      <c r="J14" s="1442"/>
      <c r="K14" s="1443"/>
      <c r="L14" s="1430" t="s">
        <v>606</v>
      </c>
      <c r="M14" s="1431"/>
      <c r="N14" s="1428" t="s">
        <v>607</v>
      </c>
      <c r="O14" s="1428"/>
      <c r="P14" s="1429" t="s">
        <v>607</v>
      </c>
      <c r="Q14" s="1429"/>
      <c r="R14" s="1478"/>
      <c r="S14" s="763"/>
      <c r="T14" s="339"/>
      <c r="U14" s="339"/>
      <c r="V14" s="339"/>
      <c r="W14" s="339"/>
      <c r="X14" s="339"/>
      <c r="Y14" s="339"/>
      <c r="Z14" s="339"/>
      <c r="AA14" s="339"/>
      <c r="AB14" s="339"/>
      <c r="AC14" s="339"/>
      <c r="AD14" s="339"/>
      <c r="AE14" s="339"/>
      <c r="AF14" s="339"/>
      <c r="AG14" s="339"/>
      <c r="AH14" s="339"/>
      <c r="AI14" s="341"/>
    </row>
    <row r="15" spans="1:36">
      <c r="A15" s="412"/>
      <c r="B15" s="987" t="s">
        <v>648</v>
      </c>
      <c r="C15" s="961"/>
      <c r="D15" s="964" t="s">
        <v>649</v>
      </c>
      <c r="E15" s="962"/>
      <c r="F15" s="962"/>
      <c r="G15" s="962"/>
      <c r="H15" s="963"/>
      <c r="I15" s="1442" t="s">
        <v>122</v>
      </c>
      <c r="J15" s="1442"/>
      <c r="K15" s="1443"/>
      <c r="L15" s="1430" t="s">
        <v>606</v>
      </c>
      <c r="M15" s="1431"/>
      <c r="N15" s="1428" t="s">
        <v>607</v>
      </c>
      <c r="O15" s="1428"/>
      <c r="P15" s="1432" t="s">
        <v>606</v>
      </c>
      <c r="Q15" s="1433"/>
      <c r="R15" s="1434"/>
      <c r="S15" s="763"/>
      <c r="T15" s="339"/>
      <c r="U15" s="339"/>
      <c r="V15" s="339"/>
      <c r="W15" s="339"/>
      <c r="X15" s="339"/>
      <c r="Y15" s="339"/>
      <c r="Z15" s="339"/>
      <c r="AA15" s="339"/>
      <c r="AB15" s="339"/>
      <c r="AC15" s="339"/>
      <c r="AD15" s="339"/>
      <c r="AE15" s="339"/>
      <c r="AF15" s="339"/>
      <c r="AG15" s="339"/>
      <c r="AH15" s="339"/>
      <c r="AI15" s="339"/>
    </row>
    <row r="16" spans="1:36" ht="12.75" customHeight="1">
      <c r="A16" s="412"/>
      <c r="B16" s="965" t="s">
        <v>625</v>
      </c>
      <c r="C16" s="966"/>
      <c r="D16" s="966" t="s">
        <v>626</v>
      </c>
      <c r="E16" s="966"/>
      <c r="F16" s="966"/>
      <c r="G16" s="966"/>
      <c r="H16" s="967"/>
      <c r="I16" s="1490" t="s">
        <v>122</v>
      </c>
      <c r="J16" s="1491"/>
      <c r="K16" s="1491"/>
      <c r="L16" s="1428" t="s">
        <v>607</v>
      </c>
      <c r="M16" s="1428"/>
      <c r="N16" s="1428" t="s">
        <v>607</v>
      </c>
      <c r="O16" s="1428"/>
      <c r="P16" s="1429" t="s">
        <v>607</v>
      </c>
      <c r="Q16" s="1429"/>
      <c r="R16" s="1478"/>
      <c r="S16" s="763"/>
      <c r="T16" s="339"/>
      <c r="U16" s="339"/>
      <c r="V16" s="339"/>
      <c r="W16" s="339"/>
      <c r="X16" s="339"/>
      <c r="Y16" s="339"/>
      <c r="Z16" s="339"/>
      <c r="AA16" s="339"/>
      <c r="AB16" s="339"/>
      <c r="AC16" s="339"/>
      <c r="AD16" s="339"/>
      <c r="AE16" s="339"/>
      <c r="AF16" s="339"/>
      <c r="AG16" s="339"/>
      <c r="AH16" s="339"/>
      <c r="AI16" s="341"/>
    </row>
    <row r="17" spans="1:35">
      <c r="A17" s="412"/>
      <c r="B17" s="708" t="s">
        <v>635</v>
      </c>
      <c r="C17" s="964"/>
      <c r="D17" s="964" t="s">
        <v>636</v>
      </c>
      <c r="E17" s="964"/>
      <c r="F17" s="964"/>
      <c r="G17" s="964"/>
      <c r="H17" s="968"/>
      <c r="I17" s="1442" t="s">
        <v>122</v>
      </c>
      <c r="J17" s="1442"/>
      <c r="K17" s="1443"/>
      <c r="L17" s="1428" t="s">
        <v>607</v>
      </c>
      <c r="M17" s="1428"/>
      <c r="N17" s="1430" t="s">
        <v>606</v>
      </c>
      <c r="O17" s="1431"/>
      <c r="P17" s="1432" t="s">
        <v>606</v>
      </c>
      <c r="Q17" s="1433"/>
      <c r="R17" s="1434"/>
      <c r="S17" s="763"/>
      <c r="T17" s="339"/>
      <c r="U17" s="339"/>
      <c r="V17" s="339"/>
      <c r="W17" s="339"/>
      <c r="X17" s="339"/>
      <c r="Y17" s="339"/>
      <c r="Z17" s="339"/>
      <c r="AA17" s="339"/>
      <c r="AB17" s="339"/>
      <c r="AC17" s="339"/>
      <c r="AD17" s="339"/>
      <c r="AE17" s="339"/>
      <c r="AF17" s="339"/>
      <c r="AG17" s="339"/>
      <c r="AH17" s="339"/>
      <c r="AI17" s="339"/>
    </row>
    <row r="18" spans="1:35">
      <c r="A18" s="412"/>
      <c r="B18" s="708" t="s">
        <v>631</v>
      </c>
      <c r="C18" s="964"/>
      <c r="D18" s="964" t="s">
        <v>632</v>
      </c>
      <c r="E18" s="964"/>
      <c r="F18" s="964"/>
      <c r="G18" s="964"/>
      <c r="H18" s="968"/>
      <c r="I18" s="1442" t="s">
        <v>122</v>
      </c>
      <c r="J18" s="1442"/>
      <c r="K18" s="1443"/>
      <c r="L18" s="1428" t="s">
        <v>607</v>
      </c>
      <c r="M18" s="1428"/>
      <c r="N18" s="1430" t="s">
        <v>606</v>
      </c>
      <c r="O18" s="1431"/>
      <c r="P18" s="1432" t="s">
        <v>606</v>
      </c>
      <c r="Q18" s="1433"/>
      <c r="R18" s="1434"/>
      <c r="S18" s="763"/>
      <c r="T18" s="339"/>
      <c r="U18" s="339"/>
      <c r="V18" s="339"/>
      <c r="W18" s="339"/>
      <c r="X18" s="339"/>
      <c r="Y18" s="339"/>
      <c r="Z18" s="339"/>
      <c r="AA18" s="339"/>
      <c r="AB18" s="339"/>
      <c r="AC18" s="339"/>
      <c r="AD18" s="339"/>
      <c r="AE18" s="339"/>
      <c r="AF18" s="339"/>
      <c r="AG18" s="339"/>
      <c r="AH18" s="339"/>
      <c r="AI18" s="339"/>
    </row>
    <row r="19" spans="1:35">
      <c r="A19" s="412"/>
      <c r="B19" s="957" t="s">
        <v>618</v>
      </c>
      <c r="C19" s="958"/>
      <c r="D19" s="959" t="s">
        <v>650</v>
      </c>
      <c r="E19" s="959"/>
      <c r="F19" s="959"/>
      <c r="G19" s="959"/>
      <c r="H19" s="960"/>
      <c r="I19" s="933" t="s">
        <v>122</v>
      </c>
      <c r="J19" s="757" t="s">
        <v>122</v>
      </c>
      <c r="K19" s="757" t="s">
        <v>122</v>
      </c>
      <c r="L19" s="1430" t="s">
        <v>606</v>
      </c>
      <c r="M19" s="1431"/>
      <c r="N19" s="1428" t="s">
        <v>607</v>
      </c>
      <c r="O19" s="1428"/>
      <c r="P19" s="1432" t="s">
        <v>606</v>
      </c>
      <c r="Q19" s="1433"/>
      <c r="R19" s="1434"/>
      <c r="S19" s="763"/>
      <c r="T19" s="339"/>
      <c r="U19" s="339"/>
      <c r="V19" s="339"/>
      <c r="W19" s="339"/>
      <c r="X19" s="339"/>
      <c r="Y19" s="339"/>
      <c r="Z19" s="339"/>
      <c r="AA19" s="339"/>
      <c r="AB19" s="339"/>
      <c r="AC19" s="339"/>
      <c r="AD19" s="339"/>
      <c r="AE19" s="339"/>
      <c r="AF19" s="339"/>
      <c r="AG19" s="339"/>
      <c r="AH19" s="339"/>
      <c r="AI19" s="339"/>
    </row>
    <row r="20" spans="1:35">
      <c r="A20" s="412"/>
      <c r="B20" s="953" t="s">
        <v>618</v>
      </c>
      <c r="C20" s="954"/>
      <c r="D20" s="955" t="s">
        <v>651</v>
      </c>
      <c r="E20" s="955"/>
      <c r="F20" s="955"/>
      <c r="G20" s="955"/>
      <c r="H20" s="956"/>
      <c r="I20" s="933" t="s">
        <v>122</v>
      </c>
      <c r="J20" s="757" t="s">
        <v>122</v>
      </c>
      <c r="K20" s="757" t="s">
        <v>122</v>
      </c>
      <c r="L20" s="1430" t="s">
        <v>606</v>
      </c>
      <c r="M20" s="1431"/>
      <c r="N20" s="1428" t="s">
        <v>607</v>
      </c>
      <c r="O20" s="1428"/>
      <c r="P20" s="1432" t="s">
        <v>606</v>
      </c>
      <c r="Q20" s="1433"/>
      <c r="R20" s="1434"/>
      <c r="S20" s="763"/>
      <c r="T20" s="339"/>
      <c r="U20" s="339"/>
      <c r="V20" s="339"/>
      <c r="W20" s="339"/>
      <c r="X20" s="339"/>
      <c r="Y20" s="339"/>
      <c r="Z20" s="339"/>
      <c r="AA20" s="339"/>
      <c r="AB20" s="339"/>
      <c r="AC20" s="339"/>
      <c r="AD20" s="339"/>
      <c r="AE20" s="339"/>
      <c r="AF20" s="339"/>
      <c r="AG20" s="339"/>
      <c r="AH20" s="339"/>
      <c r="AI20" s="339"/>
    </row>
    <row r="21" spans="1:35">
      <c r="A21" s="412"/>
      <c r="C21" s="413"/>
      <c r="D21" s="413"/>
      <c r="S21" s="760"/>
      <c r="T21" s="339"/>
      <c r="U21" s="339"/>
      <c r="V21" s="339"/>
      <c r="W21" s="339"/>
      <c r="X21" s="339"/>
      <c r="Y21" s="339"/>
      <c r="Z21" s="339"/>
      <c r="AA21" s="339"/>
      <c r="AB21" s="339"/>
      <c r="AC21" s="339"/>
      <c r="AD21" s="339"/>
      <c r="AE21" s="339"/>
      <c r="AF21" s="339"/>
      <c r="AG21" s="339"/>
      <c r="AH21" s="339"/>
      <c r="AI21" s="339"/>
    </row>
    <row r="22" spans="1:35">
      <c r="A22" s="412"/>
      <c r="B22" s="1468"/>
      <c r="C22" s="1468"/>
      <c r="D22" s="1468"/>
      <c r="E22" s="186"/>
      <c r="F22" s="1470" t="s">
        <v>637</v>
      </c>
      <c r="G22" s="1470"/>
      <c r="H22" s="1470"/>
      <c r="I22" s="1454" t="str">
        <f>IF(AND(COUNTIF($I$13:$K$20,"No")=0,OR(H8&lt;&gt;"Pouch",I14="Yes")),"Compliance shown","No compliance shown")</f>
        <v>No compliance shown</v>
      </c>
      <c r="J22" s="1455"/>
      <c r="K22" s="1469"/>
      <c r="S22" s="414"/>
      <c r="T22" s="339"/>
      <c r="U22" s="339"/>
      <c r="V22" s="339"/>
      <c r="W22" s="339"/>
      <c r="X22" s="339"/>
      <c r="Y22" s="339"/>
      <c r="Z22" s="339"/>
      <c r="AA22" s="339"/>
      <c r="AB22" s="339"/>
      <c r="AC22" s="339"/>
      <c r="AD22" s="339"/>
      <c r="AE22" s="339"/>
      <c r="AF22" s="339"/>
      <c r="AG22" s="339"/>
      <c r="AH22" s="339"/>
      <c r="AI22" s="339"/>
    </row>
    <row r="23" spans="1:35">
      <c r="A23" s="412"/>
      <c r="B23" s="1468"/>
      <c r="C23" s="1468"/>
      <c r="D23" s="1468"/>
      <c r="E23" s="186"/>
      <c r="F23" s="1470"/>
      <c r="G23" s="1470"/>
      <c r="H23" s="1470"/>
      <c r="I23" s="1457"/>
      <c r="J23" s="1458"/>
      <c r="K23" s="1458"/>
      <c r="L23" s="412"/>
      <c r="S23" s="414"/>
      <c r="T23" s="339"/>
      <c r="U23" s="339"/>
      <c r="V23" s="339"/>
      <c r="W23" s="339"/>
      <c r="X23" s="339"/>
      <c r="Y23" s="339"/>
      <c r="Z23" s="339"/>
      <c r="AA23" s="339"/>
      <c r="AB23" s="339"/>
      <c r="AC23" s="339"/>
      <c r="AD23" s="339"/>
      <c r="AE23" s="339"/>
      <c r="AF23" s="339"/>
      <c r="AG23" s="339"/>
      <c r="AH23" s="339"/>
      <c r="AI23" s="339"/>
    </row>
    <row r="24" spans="1:35">
      <c r="A24" s="409"/>
      <c r="B24" s="409"/>
      <c r="C24" s="409"/>
      <c r="D24" s="409"/>
      <c r="E24" s="409"/>
      <c r="F24" s="409"/>
      <c r="G24" s="409"/>
      <c r="H24" s="409"/>
      <c r="I24" s="409"/>
      <c r="J24" s="409"/>
      <c r="K24" s="409"/>
      <c r="L24" s="409"/>
      <c r="M24" s="409"/>
      <c r="N24" s="409"/>
      <c r="O24" s="409"/>
      <c r="P24" s="409"/>
      <c r="Q24" s="409"/>
      <c r="R24" s="409"/>
      <c r="S24" s="761"/>
      <c r="T24" s="339"/>
      <c r="U24" s="339"/>
      <c r="V24" s="339"/>
      <c r="W24" s="339"/>
      <c r="X24" s="339"/>
      <c r="Y24" s="339"/>
      <c r="Z24" s="339"/>
      <c r="AA24" s="339"/>
      <c r="AB24" s="339"/>
      <c r="AC24" s="339"/>
      <c r="AD24" s="339"/>
      <c r="AE24" s="339"/>
      <c r="AF24" s="339"/>
      <c r="AG24" s="339"/>
      <c r="AH24" s="339"/>
      <c r="AI24" s="339"/>
    </row>
    <row r="25" spans="1:35">
      <c r="A25" s="409"/>
      <c r="B25" s="408" t="s">
        <v>652</v>
      </c>
      <c r="C25" s="409"/>
      <c r="D25" s="409"/>
      <c r="E25" s="409"/>
      <c r="F25" s="409"/>
      <c r="G25" s="409"/>
      <c r="H25" s="409"/>
      <c r="I25" s="409"/>
      <c r="J25" s="409"/>
      <c r="K25" s="409"/>
      <c r="L25" s="409"/>
      <c r="M25" s="409"/>
      <c r="N25" s="409"/>
      <c r="O25" s="409"/>
      <c r="P25" s="409"/>
      <c r="Q25" s="409"/>
      <c r="R25" s="409"/>
      <c r="S25" s="761"/>
      <c r="T25" s="339"/>
      <c r="U25" s="339"/>
      <c r="V25" s="339"/>
      <c r="W25" s="339"/>
      <c r="X25" s="339"/>
      <c r="Y25" s="339"/>
      <c r="Z25" s="339"/>
      <c r="AA25" s="339"/>
      <c r="AB25" s="339"/>
      <c r="AC25" s="339"/>
      <c r="AD25" s="339"/>
      <c r="AE25" s="339"/>
      <c r="AF25" s="339"/>
      <c r="AG25" s="339"/>
      <c r="AH25" s="339"/>
      <c r="AI25" s="341"/>
    </row>
    <row r="26" spans="1:35">
      <c r="A26" s="409"/>
      <c r="B26" s="409"/>
      <c r="C26" s="409"/>
      <c r="D26" s="409"/>
      <c r="E26" s="409"/>
      <c r="F26" s="409"/>
      <c r="G26" s="409"/>
      <c r="H26" s="409"/>
      <c r="I26" s="409"/>
      <c r="J26" s="409"/>
      <c r="K26" s="409"/>
      <c r="L26" s="409"/>
      <c r="M26" s="409"/>
      <c r="N26" s="409"/>
      <c r="O26" s="409"/>
      <c r="P26" s="409"/>
      <c r="Q26" s="409"/>
      <c r="R26" s="409"/>
      <c r="S26" s="761"/>
      <c r="T26" s="339"/>
      <c r="U26" s="339"/>
      <c r="V26" s="339"/>
      <c r="W26" s="339"/>
      <c r="X26" s="339"/>
      <c r="Y26" s="339"/>
      <c r="Z26" s="339"/>
      <c r="AA26" s="339"/>
      <c r="AB26" s="339"/>
      <c r="AC26" s="339"/>
      <c r="AD26" s="339"/>
      <c r="AE26" s="339"/>
      <c r="AF26" s="339"/>
      <c r="AG26" s="339"/>
      <c r="AH26" s="339"/>
      <c r="AI26" s="341"/>
    </row>
    <row r="27" spans="1:35">
      <c r="A27" s="409"/>
      <c r="B27" s="415"/>
      <c r="C27" s="409"/>
      <c r="D27" s="409"/>
      <c r="E27" s="409"/>
      <c r="F27" s="409"/>
      <c r="G27" s="409"/>
      <c r="H27" s="409"/>
      <c r="I27" s="409"/>
      <c r="J27" s="409"/>
      <c r="K27" s="409"/>
      <c r="L27" s="409"/>
      <c r="M27" s="409"/>
      <c r="N27" s="409"/>
      <c r="O27" s="409"/>
      <c r="P27" s="409"/>
      <c r="Q27" s="409"/>
      <c r="R27" s="409"/>
      <c r="S27" s="761"/>
      <c r="T27" s="339"/>
      <c r="U27" s="339"/>
      <c r="V27" s="339"/>
      <c r="W27" s="339"/>
      <c r="X27" s="339"/>
      <c r="Y27" s="339"/>
      <c r="Z27" s="339"/>
      <c r="AA27" s="339"/>
      <c r="AB27" s="339"/>
      <c r="AC27" s="339"/>
      <c r="AD27" s="339"/>
      <c r="AE27" s="339"/>
      <c r="AF27" s="339"/>
      <c r="AG27" s="339"/>
      <c r="AH27" s="339"/>
      <c r="AI27" s="341"/>
    </row>
    <row r="28" spans="1:35">
      <c r="A28" s="416"/>
      <c r="B28" s="417"/>
      <c r="C28" s="417"/>
      <c r="D28" s="417"/>
      <c r="E28" s="417"/>
      <c r="F28" s="417"/>
      <c r="G28" s="417"/>
      <c r="H28" s="417"/>
      <c r="I28" s="417"/>
      <c r="J28" s="417"/>
      <c r="K28" s="417"/>
      <c r="L28" s="417"/>
      <c r="M28" s="417"/>
      <c r="N28" s="417"/>
      <c r="O28" s="417"/>
      <c r="P28" s="417"/>
      <c r="Q28" s="417"/>
      <c r="R28" s="417"/>
      <c r="S28" s="762"/>
      <c r="T28" s="339"/>
      <c r="U28" s="339"/>
      <c r="V28" s="339"/>
      <c r="W28" s="339"/>
      <c r="X28" s="339"/>
      <c r="Y28" s="339"/>
      <c r="Z28" s="339"/>
      <c r="AA28" s="339"/>
      <c r="AB28" s="339"/>
      <c r="AC28" s="339"/>
      <c r="AD28" s="339"/>
      <c r="AE28" s="339"/>
      <c r="AF28" s="339"/>
      <c r="AG28" s="339"/>
      <c r="AH28" s="339"/>
      <c r="AI28" s="341"/>
    </row>
    <row r="29" spans="1:35">
      <c r="A29" s="343"/>
      <c r="B29" s="346"/>
      <c r="C29" s="346"/>
      <c r="D29" s="346"/>
      <c r="E29" s="346"/>
      <c r="F29" s="346"/>
      <c r="G29" s="346"/>
      <c r="H29" s="346"/>
      <c r="I29" s="346"/>
      <c r="J29" s="346"/>
      <c r="K29" s="346"/>
      <c r="L29" s="346"/>
      <c r="M29" s="346"/>
      <c r="N29" s="346"/>
      <c r="O29" s="346"/>
      <c r="P29" s="346"/>
      <c r="Q29" s="346"/>
      <c r="R29" s="346"/>
      <c r="S29" s="346"/>
      <c r="T29" s="339"/>
      <c r="U29" s="339"/>
      <c r="V29" s="339"/>
      <c r="W29" s="339"/>
      <c r="X29" s="339"/>
      <c r="Y29" s="339"/>
      <c r="Z29" s="339"/>
      <c r="AA29" s="339"/>
      <c r="AB29" s="339"/>
      <c r="AC29" s="339"/>
      <c r="AD29" s="339"/>
      <c r="AE29" s="339"/>
      <c r="AF29" s="339"/>
      <c r="AG29" s="339"/>
      <c r="AH29" s="339"/>
      <c r="AI29" s="341"/>
    </row>
    <row r="30" spans="1:35">
      <c r="A30" s="347"/>
      <c r="B30" s="346"/>
      <c r="C30" s="346"/>
      <c r="D30" s="346"/>
      <c r="E30" s="346"/>
      <c r="F30" s="346"/>
      <c r="G30" s="346"/>
      <c r="H30" s="346"/>
      <c r="I30" s="346"/>
      <c r="J30" s="346"/>
      <c r="K30" s="346"/>
      <c r="L30" s="346"/>
      <c r="M30" s="346"/>
      <c r="N30" s="346"/>
      <c r="O30" s="346"/>
      <c r="P30" s="346"/>
      <c r="Q30" s="346"/>
      <c r="R30" s="346"/>
      <c r="S30" s="346"/>
      <c r="T30" s="339"/>
      <c r="U30" s="339"/>
      <c r="V30" s="339"/>
      <c r="W30" s="339"/>
      <c r="X30" s="339"/>
      <c r="Y30" s="339"/>
      <c r="Z30" s="339"/>
      <c r="AA30" s="339"/>
      <c r="AB30" s="339"/>
      <c r="AC30" s="339"/>
      <c r="AD30" s="339"/>
      <c r="AE30" s="339"/>
      <c r="AF30" s="339"/>
      <c r="AG30" s="339"/>
      <c r="AH30" s="339"/>
      <c r="AI30" s="341"/>
    </row>
    <row r="31" spans="1:35">
      <c r="A31" s="347"/>
      <c r="B31" s="346"/>
      <c r="C31" s="346"/>
      <c r="D31" s="346"/>
      <c r="E31" s="346"/>
      <c r="F31" s="346"/>
      <c r="G31" s="346"/>
      <c r="H31" s="346"/>
      <c r="I31" s="346"/>
      <c r="J31" s="346"/>
      <c r="K31" s="346"/>
      <c r="L31" s="346"/>
      <c r="M31" s="346"/>
      <c r="N31" s="346"/>
      <c r="O31" s="346"/>
      <c r="P31" s="346"/>
      <c r="Q31" s="346"/>
      <c r="R31" s="346"/>
      <c r="S31" s="346"/>
      <c r="T31" s="339"/>
      <c r="U31" s="339"/>
      <c r="V31" s="339"/>
      <c r="W31" s="339"/>
      <c r="X31" s="339"/>
      <c r="Y31" s="339"/>
      <c r="Z31" s="339"/>
      <c r="AA31" s="339"/>
      <c r="AB31" s="339"/>
      <c r="AC31" s="339"/>
      <c r="AD31" s="339"/>
      <c r="AE31" s="339"/>
      <c r="AF31" s="339"/>
      <c r="AG31" s="339"/>
      <c r="AH31" s="339"/>
      <c r="AI31" s="341"/>
    </row>
    <row r="32" spans="1:35">
      <c r="A32" s="347"/>
      <c r="B32" s="346"/>
      <c r="C32" s="346"/>
      <c r="D32" s="346"/>
      <c r="E32" s="346"/>
      <c r="F32" s="346"/>
      <c r="G32" s="346"/>
      <c r="H32" s="346"/>
      <c r="I32" s="346"/>
      <c r="J32" s="346"/>
      <c r="K32" s="346"/>
      <c r="L32" s="346"/>
      <c r="M32" s="346"/>
      <c r="N32" s="346"/>
      <c r="O32" s="346"/>
      <c r="P32" s="346"/>
      <c r="Q32" s="346"/>
      <c r="R32" s="346"/>
      <c r="S32" s="346"/>
      <c r="T32" s="339"/>
      <c r="U32" s="339"/>
      <c r="V32" s="339"/>
      <c r="W32" s="339"/>
      <c r="X32" s="339"/>
      <c r="Y32" s="339"/>
      <c r="Z32" s="339"/>
      <c r="AA32" s="339"/>
      <c r="AB32" s="339"/>
      <c r="AC32" s="339"/>
      <c r="AD32" s="339"/>
      <c r="AE32" s="339"/>
      <c r="AF32" s="339"/>
      <c r="AG32" s="339"/>
      <c r="AH32" s="339"/>
      <c r="AI32" s="341"/>
    </row>
    <row r="33" spans="1:35">
      <c r="A33" s="347"/>
      <c r="B33" s="346"/>
      <c r="C33" s="346"/>
      <c r="D33" s="346"/>
      <c r="E33" s="346"/>
      <c r="F33" s="346"/>
      <c r="G33" s="346"/>
      <c r="H33" s="346"/>
      <c r="I33" s="346"/>
      <c r="J33" s="346"/>
      <c r="K33" s="346"/>
      <c r="L33" s="346"/>
      <c r="M33" s="346"/>
      <c r="N33" s="346"/>
      <c r="O33" s="346"/>
      <c r="P33" s="346"/>
      <c r="Q33" s="346"/>
      <c r="R33" s="346"/>
      <c r="S33" s="346"/>
      <c r="T33" s="339"/>
      <c r="U33" s="339"/>
      <c r="V33" s="339"/>
      <c r="W33" s="339"/>
      <c r="X33" s="339"/>
      <c r="Y33" s="339"/>
      <c r="Z33" s="339"/>
      <c r="AA33" s="339"/>
      <c r="AB33" s="339"/>
      <c r="AC33" s="339"/>
      <c r="AD33" s="339"/>
      <c r="AE33" s="339"/>
      <c r="AF33" s="339"/>
      <c r="AG33" s="339"/>
      <c r="AH33" s="339"/>
      <c r="AI33" s="341"/>
    </row>
    <row r="34" spans="1:35">
      <c r="A34" s="347"/>
      <c r="B34" s="346"/>
      <c r="C34" s="346"/>
      <c r="D34" s="346"/>
      <c r="E34" s="346"/>
      <c r="F34" s="346"/>
      <c r="G34" s="346"/>
      <c r="H34" s="346"/>
      <c r="I34" s="346"/>
      <c r="J34" s="346"/>
      <c r="K34" s="346"/>
      <c r="L34" s="346"/>
      <c r="M34" s="346"/>
      <c r="N34" s="346"/>
      <c r="O34" s="346"/>
      <c r="P34" s="346"/>
      <c r="Q34" s="346"/>
      <c r="R34" s="346"/>
      <c r="S34" s="346"/>
      <c r="T34" s="339"/>
      <c r="U34" s="339"/>
      <c r="V34" s="339"/>
      <c r="W34" s="339"/>
      <c r="X34" s="339"/>
      <c r="Y34" s="339"/>
      <c r="Z34" s="339"/>
      <c r="AA34" s="339"/>
      <c r="AB34" s="339"/>
      <c r="AC34" s="339"/>
      <c r="AD34" s="339"/>
      <c r="AE34" s="339"/>
      <c r="AF34" s="339"/>
      <c r="AG34" s="339"/>
      <c r="AH34" s="339"/>
      <c r="AI34" s="341"/>
    </row>
    <row r="35" spans="1:35">
      <c r="A35" s="347"/>
      <c r="B35" s="346"/>
      <c r="C35" s="346"/>
      <c r="D35" s="346"/>
      <c r="E35" s="346"/>
      <c r="F35" s="346"/>
      <c r="G35" s="346"/>
      <c r="H35" s="346"/>
      <c r="I35" s="346"/>
      <c r="J35" s="346"/>
      <c r="K35" s="346"/>
      <c r="L35" s="346"/>
      <c r="M35" s="346"/>
      <c r="N35" s="346"/>
      <c r="O35" s="346"/>
      <c r="P35" s="346"/>
      <c r="Q35" s="346"/>
      <c r="R35" s="346"/>
      <c r="S35" s="346"/>
      <c r="T35" s="180"/>
      <c r="U35" s="180"/>
      <c r="V35" s="180"/>
      <c r="W35" s="180"/>
      <c r="X35" s="180"/>
      <c r="Y35" s="180"/>
      <c r="Z35" s="180"/>
      <c r="AA35" s="180"/>
      <c r="AB35" s="180"/>
      <c r="AC35" s="180"/>
      <c r="AD35" s="180"/>
      <c r="AE35" s="180"/>
      <c r="AF35" s="180"/>
      <c r="AG35" s="180"/>
      <c r="AH35" s="180"/>
      <c r="AI35" s="180"/>
    </row>
    <row r="36" spans="1:35">
      <c r="A36" s="347"/>
      <c r="B36" s="346"/>
      <c r="C36" s="346"/>
      <c r="D36" s="346"/>
      <c r="E36" s="346"/>
      <c r="F36" s="346"/>
      <c r="G36" s="346"/>
      <c r="H36" s="346"/>
      <c r="I36" s="346"/>
      <c r="J36" s="346"/>
      <c r="K36" s="346"/>
      <c r="L36" s="346"/>
      <c r="M36" s="346"/>
      <c r="N36" s="346"/>
      <c r="O36" s="346"/>
      <c r="P36" s="346"/>
      <c r="Q36" s="346"/>
      <c r="R36" s="346"/>
      <c r="S36" s="346"/>
      <c r="T36" s="180"/>
      <c r="U36" s="180"/>
      <c r="V36" s="180"/>
      <c r="W36" s="180"/>
      <c r="X36" s="180"/>
      <c r="Y36" s="180"/>
      <c r="Z36" s="180"/>
      <c r="AA36" s="180"/>
      <c r="AB36" s="180"/>
      <c r="AC36" s="180"/>
      <c r="AD36" s="180"/>
      <c r="AE36" s="180"/>
      <c r="AF36" s="180"/>
      <c r="AG36" s="180"/>
      <c r="AH36" s="180"/>
      <c r="AI36" s="180"/>
    </row>
    <row r="37" spans="1:35">
      <c r="A37" s="347"/>
      <c r="B37" s="346"/>
      <c r="C37" s="346"/>
      <c r="D37" s="346"/>
      <c r="E37" s="346"/>
      <c r="F37" s="346"/>
      <c r="G37" s="346"/>
      <c r="H37" s="346"/>
      <c r="I37" s="346"/>
      <c r="J37" s="346"/>
      <c r="K37" s="346"/>
      <c r="L37" s="346"/>
      <c r="M37" s="346"/>
      <c r="N37" s="346"/>
      <c r="O37" s="346"/>
      <c r="P37" s="346"/>
      <c r="Q37" s="346"/>
      <c r="R37" s="346"/>
      <c r="S37" s="346"/>
      <c r="T37" s="180"/>
      <c r="U37" s="180"/>
      <c r="V37" s="180"/>
      <c r="W37" s="180"/>
      <c r="X37" s="180"/>
      <c r="Y37" s="180"/>
      <c r="Z37" s="180"/>
      <c r="AA37" s="180"/>
      <c r="AB37" s="180"/>
      <c r="AC37" s="180"/>
      <c r="AD37" s="180"/>
      <c r="AE37" s="180"/>
      <c r="AF37" s="180"/>
      <c r="AG37" s="180"/>
      <c r="AH37" s="180"/>
      <c r="AI37" s="180"/>
    </row>
    <row r="38" spans="1:35">
      <c r="A38" s="347"/>
      <c r="B38" s="346"/>
      <c r="C38" s="346"/>
      <c r="D38" s="346"/>
      <c r="E38" s="346"/>
      <c r="F38" s="346"/>
      <c r="G38" s="346"/>
      <c r="H38" s="346"/>
      <c r="I38" s="346"/>
      <c r="J38" s="346"/>
      <c r="K38" s="346"/>
      <c r="L38" s="346"/>
      <c r="M38" s="346"/>
      <c r="N38" s="346"/>
      <c r="O38" s="346"/>
      <c r="P38" s="346"/>
      <c r="Q38" s="346"/>
      <c r="R38" s="346"/>
      <c r="S38" s="346"/>
      <c r="T38" s="180"/>
      <c r="U38" s="180"/>
      <c r="V38" s="180"/>
      <c r="W38" s="180"/>
      <c r="X38" s="180"/>
      <c r="Y38" s="180"/>
      <c r="Z38" s="180"/>
      <c r="AA38" s="180"/>
      <c r="AB38" s="180"/>
      <c r="AC38" s="180"/>
      <c r="AD38" s="180"/>
      <c r="AE38" s="180"/>
      <c r="AF38" s="180"/>
      <c r="AG38" s="180"/>
      <c r="AH38" s="180"/>
      <c r="AI38" s="180"/>
    </row>
    <row r="39" spans="1:35">
      <c r="A39" s="347"/>
      <c r="B39" s="346"/>
      <c r="C39" s="346"/>
      <c r="D39" s="346"/>
      <c r="E39" s="346"/>
      <c r="F39" s="346"/>
      <c r="G39" s="346"/>
      <c r="H39" s="346"/>
      <c r="I39" s="346"/>
      <c r="J39" s="346"/>
      <c r="K39" s="346"/>
      <c r="L39" s="346"/>
      <c r="M39" s="346"/>
      <c r="N39" s="346"/>
      <c r="O39" s="346"/>
      <c r="P39" s="346"/>
      <c r="Q39" s="346"/>
      <c r="R39" s="346"/>
      <c r="S39" s="346"/>
      <c r="T39" s="180"/>
      <c r="U39" s="180"/>
      <c r="V39" s="180"/>
      <c r="W39" s="180"/>
      <c r="X39" s="180"/>
      <c r="Y39" s="180"/>
      <c r="Z39" s="180"/>
      <c r="AA39" s="180"/>
      <c r="AB39" s="180"/>
      <c r="AC39" s="180"/>
      <c r="AD39" s="180"/>
      <c r="AE39" s="180"/>
      <c r="AF39" s="180"/>
      <c r="AG39" s="180"/>
      <c r="AH39" s="180"/>
      <c r="AI39" s="180"/>
    </row>
    <row r="40" spans="1:35">
      <c r="A40" s="347"/>
      <c r="B40" s="346"/>
      <c r="C40" s="346"/>
      <c r="D40" s="346"/>
      <c r="E40" s="346"/>
      <c r="F40" s="346"/>
      <c r="G40" s="346"/>
      <c r="H40" s="346"/>
      <c r="I40" s="346"/>
      <c r="J40" s="346"/>
      <c r="K40" s="346"/>
      <c r="L40" s="346"/>
      <c r="M40" s="346"/>
      <c r="N40" s="346"/>
      <c r="O40" s="346"/>
      <c r="P40" s="346"/>
      <c r="Q40" s="346"/>
      <c r="R40" s="346"/>
      <c r="S40" s="346"/>
      <c r="T40" s="180"/>
      <c r="U40" s="180"/>
      <c r="V40" s="180"/>
      <c r="W40" s="180"/>
      <c r="X40" s="180"/>
      <c r="Y40" s="180"/>
      <c r="Z40" s="180"/>
      <c r="AA40" s="180"/>
      <c r="AB40" s="180"/>
      <c r="AC40" s="180"/>
      <c r="AD40" s="180"/>
      <c r="AE40" s="180"/>
      <c r="AF40" s="180"/>
      <c r="AG40" s="180"/>
      <c r="AH40" s="180"/>
      <c r="AI40" s="180"/>
    </row>
    <row r="41" spans="1:35">
      <c r="A41" s="347"/>
      <c r="B41" s="346"/>
      <c r="C41" s="346"/>
      <c r="D41" s="346"/>
      <c r="E41" s="346"/>
      <c r="F41" s="346"/>
      <c r="G41" s="346"/>
      <c r="H41" s="346"/>
      <c r="I41" s="346"/>
      <c r="J41" s="346"/>
      <c r="K41" s="346"/>
      <c r="L41" s="346"/>
      <c r="M41" s="346"/>
      <c r="N41" s="346"/>
      <c r="O41" s="346"/>
      <c r="P41" s="346"/>
      <c r="Q41" s="346"/>
      <c r="R41" s="346"/>
      <c r="S41" s="346"/>
      <c r="T41" s="180"/>
      <c r="U41" s="180"/>
      <c r="V41" s="180"/>
      <c r="W41" s="180"/>
      <c r="X41" s="180"/>
      <c r="Y41" s="180"/>
      <c r="Z41" s="180"/>
      <c r="AA41" s="180"/>
      <c r="AB41" s="180"/>
      <c r="AC41" s="180"/>
      <c r="AD41" s="180"/>
      <c r="AE41" s="180"/>
      <c r="AF41" s="180"/>
      <c r="AG41" s="180"/>
      <c r="AH41" s="180"/>
      <c r="AI41" s="180"/>
    </row>
    <row r="42" spans="1:35">
      <c r="A42" s="347"/>
      <c r="B42" s="346"/>
      <c r="C42" s="346"/>
      <c r="D42" s="346"/>
      <c r="E42" s="346"/>
      <c r="F42" s="346"/>
      <c r="G42" s="346"/>
      <c r="H42" s="346"/>
      <c r="I42" s="346"/>
      <c r="J42" s="346"/>
      <c r="K42" s="346"/>
      <c r="L42" s="346"/>
      <c r="M42" s="346"/>
      <c r="N42" s="346"/>
      <c r="O42" s="346"/>
      <c r="P42" s="346"/>
      <c r="Q42" s="346"/>
      <c r="R42" s="346"/>
      <c r="S42" s="346"/>
      <c r="T42" s="180"/>
      <c r="U42" s="180"/>
      <c r="V42" s="180"/>
      <c r="W42" s="180"/>
      <c r="X42" s="180"/>
      <c r="Y42" s="180"/>
      <c r="Z42" s="180"/>
      <c r="AA42" s="180"/>
      <c r="AB42" s="180"/>
      <c r="AC42" s="180"/>
      <c r="AD42" s="180"/>
      <c r="AE42" s="180"/>
      <c r="AF42" s="180"/>
      <c r="AG42" s="180"/>
      <c r="AH42" s="180"/>
      <c r="AI42" s="180"/>
    </row>
    <row r="43" spans="1:35">
      <c r="A43" s="347"/>
      <c r="B43" s="346"/>
      <c r="C43" s="346"/>
      <c r="D43" s="346"/>
      <c r="E43" s="346"/>
      <c r="F43" s="346"/>
      <c r="G43" s="346"/>
      <c r="H43" s="346"/>
      <c r="I43" s="346"/>
      <c r="J43" s="346"/>
      <c r="K43" s="346"/>
      <c r="L43" s="346"/>
      <c r="M43" s="346"/>
      <c r="N43" s="346"/>
      <c r="O43" s="346"/>
      <c r="P43" s="346"/>
      <c r="Q43" s="346"/>
      <c r="R43" s="346"/>
      <c r="S43" s="346"/>
      <c r="T43" s="180"/>
      <c r="U43" s="180"/>
      <c r="V43" s="180"/>
      <c r="W43" s="180"/>
      <c r="X43" s="180"/>
      <c r="Y43" s="180"/>
      <c r="Z43" s="180"/>
      <c r="AA43" s="180"/>
      <c r="AB43" s="180"/>
      <c r="AC43" s="180"/>
      <c r="AD43" s="180"/>
      <c r="AE43" s="180"/>
      <c r="AF43" s="180"/>
      <c r="AG43" s="180"/>
      <c r="AH43" s="180"/>
      <c r="AI43" s="180"/>
    </row>
    <row r="44" spans="1:35">
      <c r="A44" s="347"/>
      <c r="B44" s="346"/>
      <c r="C44" s="346"/>
      <c r="D44" s="346"/>
      <c r="E44" s="346"/>
      <c r="F44" s="346"/>
      <c r="G44" s="346"/>
      <c r="H44" s="346"/>
      <c r="I44" s="346"/>
      <c r="J44" s="346"/>
      <c r="K44" s="346"/>
      <c r="L44" s="346"/>
      <c r="M44" s="346"/>
      <c r="N44" s="346"/>
      <c r="O44" s="346"/>
      <c r="P44" s="346"/>
      <c r="Q44" s="346"/>
      <c r="R44" s="346"/>
      <c r="S44" s="346"/>
      <c r="T44" s="180"/>
      <c r="U44" s="180"/>
      <c r="V44" s="180"/>
      <c r="W44" s="180"/>
      <c r="X44" s="180"/>
      <c r="Y44" s="180"/>
      <c r="Z44" s="180"/>
      <c r="AA44" s="180"/>
      <c r="AB44" s="180"/>
      <c r="AC44" s="180"/>
      <c r="AD44" s="180"/>
      <c r="AE44" s="180"/>
      <c r="AF44" s="180"/>
      <c r="AG44" s="180"/>
      <c r="AH44" s="180"/>
      <c r="AI44" s="180"/>
    </row>
    <row r="45" spans="1:35">
      <c r="A45" s="347"/>
      <c r="B45" s="346"/>
      <c r="C45" s="346"/>
      <c r="D45" s="346"/>
      <c r="E45" s="346"/>
      <c r="F45" s="346"/>
      <c r="G45" s="346"/>
      <c r="H45" s="346"/>
      <c r="I45" s="346"/>
      <c r="J45" s="346"/>
      <c r="K45" s="346"/>
      <c r="L45" s="346"/>
      <c r="M45" s="346"/>
      <c r="N45" s="346"/>
      <c r="O45" s="346"/>
      <c r="P45" s="346"/>
      <c r="Q45" s="346"/>
      <c r="R45" s="346"/>
      <c r="S45" s="346"/>
      <c r="T45" s="180"/>
      <c r="U45" s="180"/>
      <c r="V45" s="180"/>
      <c r="W45" s="180"/>
      <c r="X45" s="180"/>
      <c r="Y45" s="180"/>
      <c r="Z45" s="180"/>
      <c r="AA45" s="180"/>
      <c r="AB45" s="180"/>
      <c r="AC45" s="180"/>
      <c r="AD45" s="180"/>
      <c r="AE45" s="180"/>
      <c r="AF45" s="180"/>
      <c r="AG45" s="180"/>
      <c r="AH45" s="180"/>
      <c r="AI45" s="180"/>
    </row>
    <row r="46" spans="1:35">
      <c r="A46" s="347"/>
      <c r="B46" s="346"/>
      <c r="C46" s="346"/>
      <c r="D46" s="346"/>
      <c r="E46" s="346"/>
      <c r="F46" s="346"/>
      <c r="G46" s="346"/>
      <c r="H46" s="346"/>
      <c r="I46" s="346"/>
      <c r="J46" s="346"/>
      <c r="K46" s="346"/>
      <c r="L46" s="346"/>
      <c r="M46" s="346"/>
      <c r="N46" s="346"/>
      <c r="O46" s="346"/>
      <c r="P46" s="346"/>
      <c r="Q46" s="346"/>
      <c r="R46" s="346"/>
      <c r="S46" s="346"/>
      <c r="T46" s="180"/>
      <c r="U46" s="180"/>
      <c r="V46" s="180"/>
      <c r="W46" s="180"/>
      <c r="X46" s="180"/>
      <c r="Y46" s="180"/>
      <c r="Z46" s="180"/>
      <c r="AA46" s="180"/>
      <c r="AB46" s="180"/>
      <c r="AC46" s="180"/>
      <c r="AD46" s="180"/>
      <c r="AE46" s="180"/>
      <c r="AF46" s="180"/>
      <c r="AG46" s="180"/>
      <c r="AH46" s="180"/>
      <c r="AI46" s="180"/>
    </row>
    <row r="47" spans="1:35">
      <c r="A47" s="347"/>
      <c r="B47" s="346"/>
      <c r="C47" s="346"/>
      <c r="D47" s="346"/>
      <c r="E47" s="346"/>
      <c r="F47" s="346"/>
      <c r="G47" s="346"/>
      <c r="H47" s="346"/>
      <c r="I47" s="346"/>
      <c r="J47" s="346"/>
      <c r="K47" s="346"/>
      <c r="L47" s="346"/>
      <c r="M47" s="346"/>
      <c r="N47" s="346"/>
      <c r="O47" s="346"/>
      <c r="P47" s="346"/>
      <c r="Q47" s="346"/>
      <c r="R47" s="346"/>
      <c r="S47" s="346"/>
      <c r="T47" s="180"/>
      <c r="U47" s="180"/>
      <c r="V47" s="180"/>
      <c r="W47" s="180"/>
      <c r="X47" s="180"/>
      <c r="Y47" s="180"/>
      <c r="Z47" s="180"/>
      <c r="AA47" s="180"/>
      <c r="AB47" s="180"/>
      <c r="AC47" s="180"/>
      <c r="AD47" s="180"/>
      <c r="AE47" s="180"/>
      <c r="AF47" s="180"/>
      <c r="AG47" s="180"/>
      <c r="AH47" s="180"/>
      <c r="AI47" s="180"/>
    </row>
    <row r="48" spans="1:35">
      <c r="A48" s="347"/>
      <c r="B48" s="346"/>
      <c r="C48" s="346"/>
      <c r="D48" s="346"/>
      <c r="E48" s="346"/>
      <c r="F48" s="346"/>
      <c r="G48" s="346"/>
      <c r="H48" s="346"/>
      <c r="I48" s="346"/>
      <c r="J48" s="346"/>
      <c r="K48" s="346"/>
      <c r="L48" s="346"/>
      <c r="M48" s="346"/>
      <c r="N48" s="346"/>
      <c r="O48" s="346"/>
      <c r="P48" s="346"/>
      <c r="Q48" s="346"/>
      <c r="R48" s="346"/>
      <c r="S48" s="346"/>
      <c r="T48" s="180"/>
      <c r="U48" s="180"/>
      <c r="V48" s="180"/>
      <c r="W48" s="180"/>
      <c r="X48" s="180"/>
      <c r="Y48" s="180"/>
      <c r="Z48" s="180"/>
      <c r="AA48" s="180"/>
      <c r="AB48" s="180"/>
      <c r="AC48" s="180"/>
      <c r="AD48" s="180"/>
      <c r="AE48" s="180"/>
      <c r="AF48" s="180"/>
      <c r="AG48" s="180"/>
      <c r="AH48" s="180"/>
      <c r="AI48" s="180"/>
    </row>
    <row r="49" spans="1:35">
      <c r="A49" s="347"/>
      <c r="B49" s="346"/>
      <c r="C49" s="346"/>
      <c r="D49" s="346"/>
      <c r="E49" s="346"/>
      <c r="F49" s="346"/>
      <c r="G49" s="346"/>
      <c r="H49" s="346"/>
      <c r="I49" s="346"/>
      <c r="J49" s="346"/>
      <c r="K49" s="346"/>
      <c r="L49" s="346"/>
      <c r="M49" s="346"/>
      <c r="N49" s="346"/>
      <c r="O49" s="346"/>
      <c r="P49" s="346"/>
      <c r="Q49" s="346"/>
      <c r="R49" s="346"/>
      <c r="S49" s="346"/>
      <c r="T49" s="180"/>
      <c r="U49" s="180"/>
      <c r="V49" s="180"/>
      <c r="W49" s="180"/>
      <c r="X49" s="180"/>
      <c r="Y49" s="180"/>
      <c r="Z49" s="180"/>
      <c r="AA49" s="180"/>
      <c r="AB49" s="180"/>
      <c r="AC49" s="180"/>
      <c r="AD49" s="180"/>
      <c r="AE49" s="180"/>
      <c r="AF49" s="180"/>
      <c r="AG49" s="180"/>
      <c r="AH49" s="180"/>
      <c r="AI49" s="180"/>
    </row>
    <row r="50" spans="1:35">
      <c r="A50" s="347"/>
      <c r="B50" s="346"/>
      <c r="C50" s="346"/>
      <c r="D50" s="346"/>
      <c r="E50" s="346"/>
      <c r="F50" s="346"/>
      <c r="G50" s="346"/>
      <c r="H50" s="346"/>
      <c r="I50" s="346"/>
      <c r="J50" s="346"/>
      <c r="K50" s="346"/>
      <c r="L50" s="346"/>
      <c r="M50" s="346"/>
      <c r="N50" s="346"/>
      <c r="O50" s="346"/>
      <c r="P50" s="346"/>
      <c r="Q50" s="346"/>
      <c r="R50" s="346"/>
      <c r="S50" s="346"/>
      <c r="T50" s="180"/>
      <c r="U50" s="180"/>
      <c r="V50" s="180"/>
      <c r="W50" s="180"/>
      <c r="X50" s="180"/>
      <c r="Y50" s="180"/>
      <c r="Z50" s="180"/>
      <c r="AA50" s="180"/>
      <c r="AB50" s="180"/>
      <c r="AC50" s="180"/>
      <c r="AD50" s="180"/>
      <c r="AE50" s="180"/>
      <c r="AF50" s="180"/>
      <c r="AG50" s="180"/>
      <c r="AH50" s="180"/>
      <c r="AI50" s="180"/>
    </row>
    <row r="51" spans="1:35">
      <c r="A51" s="347"/>
      <c r="B51" s="346"/>
      <c r="C51" s="346"/>
      <c r="D51" s="346"/>
      <c r="E51" s="346"/>
      <c r="F51" s="346"/>
      <c r="G51" s="346"/>
      <c r="H51" s="346"/>
      <c r="I51" s="346"/>
      <c r="J51" s="346"/>
      <c r="K51" s="346"/>
      <c r="L51" s="346"/>
      <c r="M51" s="346"/>
      <c r="N51" s="346"/>
      <c r="O51" s="346"/>
      <c r="P51" s="346"/>
      <c r="Q51" s="346"/>
      <c r="R51" s="346"/>
      <c r="S51" s="346"/>
      <c r="T51" s="180"/>
      <c r="U51" s="180"/>
      <c r="V51" s="180"/>
      <c r="W51" s="180"/>
      <c r="X51" s="180"/>
      <c r="Y51" s="180"/>
      <c r="Z51" s="180"/>
      <c r="AA51" s="180"/>
      <c r="AB51" s="180"/>
      <c r="AC51" s="180"/>
      <c r="AD51" s="180"/>
      <c r="AE51" s="180"/>
      <c r="AF51" s="180"/>
      <c r="AG51" s="180"/>
      <c r="AH51" s="180"/>
      <c r="AI51" s="180"/>
    </row>
    <row r="52" spans="1:35">
      <c r="A52" s="347"/>
      <c r="B52" s="346"/>
      <c r="C52" s="346"/>
      <c r="D52" s="346"/>
      <c r="E52" s="346"/>
      <c r="F52" s="346"/>
      <c r="G52" s="346"/>
      <c r="H52" s="346"/>
      <c r="I52" s="346"/>
      <c r="J52" s="346"/>
      <c r="K52" s="346"/>
      <c r="L52" s="346"/>
      <c r="M52" s="346"/>
      <c r="N52" s="346"/>
      <c r="O52" s="346"/>
      <c r="P52" s="346"/>
      <c r="Q52" s="346"/>
      <c r="R52" s="346"/>
      <c r="S52" s="346"/>
      <c r="T52" s="180"/>
      <c r="U52" s="180"/>
      <c r="V52" s="180"/>
      <c r="W52" s="180"/>
      <c r="X52" s="180"/>
      <c r="Y52" s="180"/>
      <c r="Z52" s="180"/>
      <c r="AA52" s="180"/>
      <c r="AB52" s="180"/>
      <c r="AC52" s="180"/>
      <c r="AD52" s="180"/>
      <c r="AE52" s="180"/>
      <c r="AF52" s="180"/>
      <c r="AG52" s="180"/>
      <c r="AH52" s="180"/>
      <c r="AI52" s="180"/>
    </row>
    <row r="53" spans="1:35">
      <c r="A53" s="347"/>
      <c r="B53" s="346"/>
      <c r="C53" s="346"/>
      <c r="D53" s="346"/>
      <c r="E53" s="346"/>
      <c r="F53" s="346"/>
      <c r="G53" s="346"/>
      <c r="H53" s="346"/>
      <c r="I53" s="346"/>
      <c r="J53" s="346"/>
      <c r="K53" s="346"/>
      <c r="L53" s="346"/>
      <c r="M53" s="346"/>
      <c r="N53" s="346"/>
      <c r="O53" s="346"/>
      <c r="P53" s="346"/>
      <c r="Q53" s="346"/>
      <c r="R53" s="346"/>
      <c r="S53" s="346"/>
      <c r="T53" s="180"/>
      <c r="U53" s="180"/>
      <c r="V53" s="180"/>
      <c r="W53" s="180"/>
      <c r="X53" s="180"/>
      <c r="Y53" s="180"/>
      <c r="Z53" s="180"/>
      <c r="AA53" s="180"/>
      <c r="AB53" s="180"/>
      <c r="AC53" s="180"/>
      <c r="AD53" s="180"/>
      <c r="AE53" s="180"/>
      <c r="AF53" s="180"/>
      <c r="AG53" s="180"/>
      <c r="AH53" s="180"/>
      <c r="AI53" s="180"/>
    </row>
    <row r="54" spans="1:35">
      <c r="A54" s="347"/>
      <c r="B54" s="346"/>
      <c r="C54" s="346"/>
      <c r="D54" s="346"/>
      <c r="E54" s="346"/>
      <c r="F54" s="346"/>
      <c r="G54" s="346"/>
      <c r="H54" s="346"/>
      <c r="I54" s="346"/>
      <c r="J54" s="346"/>
      <c r="K54" s="346"/>
      <c r="L54" s="346"/>
      <c r="M54" s="346"/>
      <c r="N54" s="346"/>
      <c r="O54" s="346"/>
      <c r="P54" s="339"/>
      <c r="Q54" s="339"/>
      <c r="R54" s="339"/>
      <c r="S54" s="339"/>
      <c r="T54" s="180"/>
      <c r="U54" s="180"/>
      <c r="V54" s="180"/>
      <c r="W54" s="180"/>
      <c r="X54" s="180"/>
      <c r="Y54" s="180"/>
      <c r="Z54" s="180"/>
      <c r="AA54" s="180"/>
      <c r="AB54" s="180"/>
      <c r="AC54" s="180"/>
      <c r="AD54" s="180"/>
      <c r="AE54" s="180"/>
      <c r="AF54" s="180"/>
      <c r="AG54" s="180"/>
      <c r="AH54" s="180"/>
      <c r="AI54" s="180"/>
    </row>
    <row r="55" spans="1:35">
      <c r="A55" s="347"/>
      <c r="B55" s="346"/>
      <c r="C55" s="346"/>
      <c r="D55" s="346"/>
      <c r="E55" s="346"/>
      <c r="F55" s="346"/>
      <c r="G55" s="346"/>
      <c r="H55" s="346"/>
      <c r="I55" s="346"/>
      <c r="J55" s="346"/>
      <c r="K55" s="346"/>
      <c r="L55" s="346"/>
      <c r="M55" s="346"/>
      <c r="N55" s="346"/>
      <c r="O55" s="346"/>
      <c r="P55" s="339"/>
      <c r="Q55" s="339"/>
      <c r="R55" s="339"/>
      <c r="S55" s="339"/>
      <c r="T55" s="180"/>
      <c r="U55" s="180"/>
      <c r="V55" s="180"/>
      <c r="W55" s="180"/>
      <c r="X55" s="180"/>
      <c r="Y55" s="180"/>
      <c r="Z55" s="180"/>
      <c r="AA55" s="180"/>
      <c r="AB55" s="180"/>
      <c r="AC55" s="180"/>
      <c r="AD55" s="180"/>
      <c r="AE55" s="180"/>
      <c r="AF55" s="180"/>
      <c r="AG55" s="180"/>
      <c r="AH55" s="180"/>
      <c r="AI55" s="180"/>
    </row>
    <row r="56" spans="1:35">
      <c r="A56" s="347"/>
      <c r="B56" s="346"/>
      <c r="C56" s="346"/>
      <c r="D56" s="346"/>
      <c r="E56" s="346"/>
      <c r="F56" s="346"/>
      <c r="G56" s="346"/>
      <c r="H56" s="346"/>
      <c r="I56" s="346"/>
      <c r="J56" s="346"/>
      <c r="K56" s="346"/>
      <c r="L56" s="346"/>
      <c r="M56" s="346"/>
      <c r="N56" s="346"/>
      <c r="O56" s="346"/>
      <c r="P56" s="339"/>
      <c r="Q56" s="339"/>
      <c r="R56" s="339"/>
      <c r="S56" s="339"/>
      <c r="T56" s="180"/>
      <c r="U56" s="180"/>
      <c r="V56" s="180"/>
      <c r="W56" s="180"/>
      <c r="X56" s="180"/>
      <c r="Y56" s="180"/>
      <c r="Z56" s="180"/>
      <c r="AA56" s="180"/>
      <c r="AB56" s="180"/>
      <c r="AC56" s="180"/>
      <c r="AD56" s="180"/>
      <c r="AE56" s="180"/>
      <c r="AF56" s="180"/>
      <c r="AG56" s="180"/>
      <c r="AH56" s="180"/>
      <c r="AI56" s="180"/>
    </row>
    <row r="57" spans="1:35">
      <c r="A57" s="347"/>
      <c r="B57" s="346"/>
      <c r="C57" s="346"/>
      <c r="D57" s="346"/>
      <c r="E57" s="346"/>
      <c r="F57" s="346"/>
      <c r="G57" s="346"/>
      <c r="H57" s="346"/>
      <c r="I57" s="346"/>
      <c r="J57" s="346"/>
      <c r="K57" s="346"/>
      <c r="L57" s="346"/>
      <c r="M57" s="346"/>
      <c r="N57" s="346"/>
      <c r="O57" s="346"/>
      <c r="P57" s="339"/>
      <c r="Q57" s="339"/>
      <c r="R57" s="339"/>
      <c r="S57" s="339"/>
      <c r="T57" s="180"/>
      <c r="U57" s="180"/>
      <c r="V57" s="180"/>
      <c r="W57" s="180"/>
      <c r="X57" s="180"/>
      <c r="Y57" s="180"/>
      <c r="Z57" s="180"/>
      <c r="AA57" s="180"/>
      <c r="AB57" s="180"/>
      <c r="AC57" s="180"/>
      <c r="AD57" s="180"/>
      <c r="AE57" s="180"/>
      <c r="AF57" s="180"/>
      <c r="AG57" s="180"/>
      <c r="AH57" s="180"/>
      <c r="AI57" s="180"/>
    </row>
    <row r="58" spans="1:35">
      <c r="A58" s="347"/>
      <c r="B58" s="346"/>
      <c r="C58" s="346"/>
      <c r="D58" s="346"/>
      <c r="E58" s="346"/>
      <c r="F58" s="346"/>
      <c r="G58" s="346"/>
      <c r="H58" s="346"/>
      <c r="I58" s="346"/>
      <c r="J58" s="346"/>
      <c r="K58" s="346"/>
      <c r="L58" s="346"/>
      <c r="M58" s="346"/>
      <c r="N58" s="346"/>
      <c r="O58" s="346"/>
      <c r="P58" s="339"/>
      <c r="Q58" s="339"/>
      <c r="R58" s="339"/>
      <c r="S58" s="339"/>
      <c r="T58" s="180"/>
      <c r="U58" s="180"/>
      <c r="V58" s="180"/>
      <c r="W58" s="180"/>
      <c r="X58" s="180"/>
      <c r="Y58" s="180"/>
      <c r="Z58" s="180"/>
      <c r="AA58" s="180"/>
      <c r="AB58" s="180"/>
      <c r="AC58" s="180"/>
      <c r="AD58" s="180"/>
      <c r="AE58" s="180"/>
      <c r="AF58" s="180"/>
      <c r="AG58" s="180"/>
      <c r="AH58" s="180"/>
      <c r="AI58" s="180"/>
    </row>
    <row r="59" spans="1:35">
      <c r="A59" s="347"/>
      <c r="B59" s="346"/>
      <c r="C59" s="346"/>
      <c r="D59" s="346"/>
      <c r="E59" s="346"/>
      <c r="F59" s="346"/>
      <c r="G59" s="346"/>
      <c r="H59" s="346"/>
      <c r="I59" s="346"/>
      <c r="J59" s="346"/>
      <c r="K59" s="346"/>
      <c r="L59" s="346"/>
      <c r="M59" s="346"/>
      <c r="N59" s="346"/>
      <c r="O59" s="346"/>
      <c r="P59" s="339"/>
      <c r="Q59" s="339"/>
      <c r="R59" s="339"/>
      <c r="S59" s="339"/>
      <c r="T59" s="180"/>
      <c r="U59" s="180"/>
      <c r="V59" s="180"/>
      <c r="W59" s="180"/>
      <c r="X59" s="180"/>
      <c r="Y59" s="180"/>
      <c r="Z59" s="180"/>
      <c r="AA59" s="180"/>
      <c r="AB59" s="180"/>
      <c r="AC59" s="180"/>
      <c r="AD59" s="180"/>
      <c r="AE59" s="180"/>
      <c r="AF59" s="180"/>
      <c r="AG59" s="180"/>
      <c r="AH59" s="180"/>
      <c r="AI59" s="180"/>
    </row>
    <row r="60" spans="1:35">
      <c r="A60" s="347"/>
      <c r="B60" s="346"/>
      <c r="C60" s="346"/>
      <c r="D60" s="346"/>
      <c r="E60" s="346"/>
      <c r="F60" s="346"/>
      <c r="G60" s="346"/>
      <c r="H60" s="346"/>
      <c r="I60" s="346"/>
      <c r="J60" s="346"/>
      <c r="K60" s="346"/>
      <c r="L60" s="346"/>
      <c r="M60" s="346"/>
      <c r="N60" s="346"/>
      <c r="O60" s="346"/>
      <c r="P60" s="339"/>
      <c r="Q60" s="339"/>
      <c r="R60" s="339"/>
      <c r="S60" s="339"/>
      <c r="T60" s="180"/>
      <c r="U60" s="180"/>
      <c r="V60" s="180"/>
      <c r="W60" s="180"/>
      <c r="X60" s="180"/>
      <c r="Y60" s="180"/>
      <c r="Z60" s="180"/>
      <c r="AA60" s="180"/>
      <c r="AB60" s="180"/>
      <c r="AC60" s="180"/>
      <c r="AD60" s="180"/>
      <c r="AE60" s="180"/>
      <c r="AF60" s="180"/>
      <c r="AG60" s="180"/>
      <c r="AH60" s="180"/>
      <c r="AI60" s="180"/>
    </row>
    <row r="61" spans="1:35">
      <c r="A61" s="347"/>
      <c r="B61" s="346"/>
      <c r="C61" s="346"/>
      <c r="D61" s="346"/>
      <c r="E61" s="346"/>
      <c r="F61" s="346"/>
      <c r="G61" s="346"/>
      <c r="H61" s="346"/>
      <c r="I61" s="346"/>
      <c r="J61" s="346"/>
      <c r="K61" s="346"/>
      <c r="L61" s="346"/>
      <c r="M61" s="346"/>
      <c r="N61" s="346"/>
      <c r="O61" s="346"/>
      <c r="P61" s="339"/>
      <c r="Q61" s="339"/>
      <c r="R61" s="339"/>
      <c r="S61" s="339"/>
      <c r="T61" s="180"/>
      <c r="U61" s="180"/>
      <c r="V61" s="180"/>
      <c r="W61" s="180"/>
      <c r="X61" s="180"/>
      <c r="Y61" s="180"/>
      <c r="Z61" s="180"/>
      <c r="AA61" s="180"/>
      <c r="AB61" s="180"/>
      <c r="AC61" s="180"/>
      <c r="AD61" s="180"/>
      <c r="AE61" s="180"/>
      <c r="AF61" s="180"/>
      <c r="AG61" s="180"/>
      <c r="AH61" s="180"/>
      <c r="AI61" s="180"/>
    </row>
    <row r="62" spans="1:35">
      <c r="A62" s="347"/>
      <c r="B62" s="346"/>
      <c r="C62" s="346"/>
      <c r="D62" s="346"/>
      <c r="E62" s="346"/>
      <c r="F62" s="346"/>
      <c r="G62" s="346"/>
      <c r="H62" s="346"/>
      <c r="I62" s="346"/>
      <c r="J62" s="346"/>
      <c r="K62" s="346"/>
      <c r="L62" s="346"/>
      <c r="M62" s="346"/>
      <c r="N62" s="346"/>
      <c r="O62" s="346"/>
      <c r="P62" s="339"/>
      <c r="Q62" s="339"/>
      <c r="R62" s="339"/>
      <c r="S62" s="339"/>
      <c r="T62" s="180"/>
      <c r="U62" s="180"/>
      <c r="V62" s="180"/>
      <c r="W62" s="180"/>
      <c r="X62" s="180"/>
      <c r="Y62" s="180"/>
      <c r="Z62" s="180"/>
      <c r="AA62" s="180"/>
      <c r="AB62" s="180"/>
      <c r="AC62" s="180"/>
      <c r="AD62" s="180"/>
      <c r="AE62" s="180"/>
      <c r="AF62" s="180"/>
      <c r="AG62" s="180"/>
      <c r="AH62" s="180"/>
      <c r="AI62" s="180"/>
    </row>
    <row r="63" spans="1:35">
      <c r="A63" s="348"/>
      <c r="B63" s="349"/>
      <c r="C63" s="349"/>
      <c r="D63" s="349"/>
      <c r="E63" s="349"/>
      <c r="F63" s="349"/>
      <c r="G63" s="349"/>
      <c r="H63" s="349"/>
      <c r="I63" s="349"/>
      <c r="J63" s="349"/>
      <c r="K63" s="349"/>
      <c r="L63" s="349"/>
      <c r="M63" s="349"/>
      <c r="N63" s="349"/>
      <c r="O63" s="349"/>
      <c r="P63" s="339"/>
      <c r="Q63" s="339"/>
      <c r="R63" s="339"/>
      <c r="S63" s="339"/>
      <c r="T63" s="180"/>
      <c r="U63" s="180"/>
      <c r="V63" s="180"/>
      <c r="W63" s="180"/>
      <c r="X63" s="180"/>
      <c r="Y63" s="180"/>
      <c r="Z63" s="180"/>
      <c r="AA63" s="180"/>
      <c r="AB63" s="180"/>
      <c r="AC63" s="180"/>
      <c r="AD63" s="180"/>
      <c r="AE63" s="180"/>
      <c r="AF63" s="180"/>
      <c r="AG63" s="180"/>
      <c r="AH63" s="180"/>
      <c r="AI63" s="180"/>
    </row>
    <row r="64" spans="1:35">
      <c r="A64" s="339"/>
      <c r="B64" s="339"/>
      <c r="C64" s="339"/>
      <c r="D64" s="339"/>
      <c r="E64" s="339"/>
      <c r="F64" s="339"/>
      <c r="G64" s="339"/>
      <c r="H64" s="339"/>
      <c r="I64" s="339"/>
      <c r="J64" s="339"/>
      <c r="K64" s="339"/>
      <c r="L64" s="339"/>
      <c r="M64" s="339"/>
      <c r="N64" s="339"/>
      <c r="O64" s="339"/>
      <c r="P64" s="339"/>
      <c r="Q64" s="339"/>
      <c r="R64" s="339"/>
      <c r="S64" s="339"/>
      <c r="T64" s="180"/>
      <c r="U64" s="180"/>
      <c r="V64" s="180"/>
      <c r="W64" s="180"/>
      <c r="X64" s="180"/>
      <c r="Y64" s="180"/>
      <c r="Z64" s="180"/>
      <c r="AA64" s="180"/>
      <c r="AB64" s="180"/>
      <c r="AC64" s="180"/>
      <c r="AD64" s="180"/>
      <c r="AE64" s="180"/>
      <c r="AF64" s="180"/>
      <c r="AG64" s="180"/>
      <c r="AH64" s="180"/>
      <c r="AI64" s="180"/>
    </row>
    <row r="65" spans="1:35">
      <c r="A65" s="339"/>
      <c r="B65" s="339"/>
      <c r="C65" s="339"/>
      <c r="D65" s="339"/>
      <c r="E65" s="339"/>
      <c r="F65" s="339"/>
      <c r="G65" s="339"/>
      <c r="H65" s="339"/>
      <c r="I65" s="339"/>
      <c r="J65" s="339"/>
      <c r="K65" s="339"/>
      <c r="L65" s="339"/>
      <c r="M65" s="339"/>
      <c r="N65" s="339"/>
      <c r="O65" s="339"/>
      <c r="P65" s="339"/>
      <c r="Q65" s="339"/>
      <c r="R65" s="339"/>
      <c r="S65" s="339"/>
      <c r="T65" s="339"/>
      <c r="U65" s="339"/>
      <c r="V65" s="339"/>
      <c r="W65" s="339"/>
      <c r="X65" s="339"/>
      <c r="Y65" s="339"/>
      <c r="Z65" s="339"/>
      <c r="AA65" s="339"/>
      <c r="AB65" s="339"/>
      <c r="AC65" s="339"/>
      <c r="AD65" s="339"/>
      <c r="AE65" s="339"/>
      <c r="AF65" s="339"/>
      <c r="AG65" s="339"/>
      <c r="AH65" s="339"/>
      <c r="AI65" s="339"/>
    </row>
    <row r="66" spans="1:35">
      <c r="A66" s="339"/>
      <c r="B66" s="339"/>
      <c r="C66" s="339"/>
      <c r="D66" s="339"/>
      <c r="E66" s="339"/>
      <c r="F66" s="339"/>
      <c r="G66" s="339"/>
      <c r="H66" s="339"/>
      <c r="I66" s="339"/>
      <c r="J66" s="339"/>
      <c r="K66" s="339"/>
      <c r="L66" s="339"/>
      <c r="M66" s="339"/>
      <c r="N66" s="339"/>
      <c r="O66" s="339"/>
      <c r="P66" s="339"/>
      <c r="Q66" s="339"/>
      <c r="R66" s="339"/>
      <c r="S66" s="339"/>
      <c r="T66" s="339"/>
      <c r="U66" s="339"/>
      <c r="V66" s="339"/>
      <c r="W66" s="339"/>
      <c r="X66" s="339"/>
      <c r="Y66" s="339"/>
      <c r="Z66" s="339"/>
      <c r="AA66" s="339"/>
      <c r="AB66" s="339"/>
      <c r="AC66" s="339"/>
      <c r="AD66" s="339"/>
      <c r="AE66" s="339"/>
      <c r="AF66" s="339"/>
      <c r="AG66" s="339"/>
      <c r="AH66" s="339"/>
      <c r="AI66" s="339"/>
    </row>
    <row r="67" spans="1:35">
      <c r="A67" s="339"/>
      <c r="B67" s="339"/>
      <c r="C67" s="339"/>
      <c r="D67" s="339"/>
      <c r="E67" s="339"/>
      <c r="F67" s="339"/>
      <c r="G67" s="339"/>
      <c r="H67" s="339"/>
      <c r="I67" s="339"/>
      <c r="J67" s="339"/>
      <c r="K67" s="339"/>
      <c r="L67" s="339"/>
      <c r="M67" s="339"/>
      <c r="N67" s="339"/>
      <c r="O67" s="339"/>
      <c r="P67" s="339"/>
      <c r="Q67" s="339"/>
      <c r="R67" s="339"/>
      <c r="S67" s="339"/>
      <c r="T67" s="339"/>
      <c r="U67" s="339"/>
      <c r="V67" s="339"/>
      <c r="W67" s="339"/>
      <c r="X67" s="339"/>
      <c r="Y67" s="339"/>
      <c r="Z67" s="339"/>
      <c r="AA67" s="339"/>
      <c r="AB67" s="339"/>
      <c r="AC67" s="339"/>
      <c r="AD67" s="339"/>
      <c r="AE67" s="339"/>
      <c r="AF67" s="339"/>
      <c r="AG67" s="339"/>
      <c r="AH67" s="339"/>
      <c r="AI67" s="339"/>
    </row>
    <row r="68" spans="1:35">
      <c r="A68" s="339"/>
      <c r="B68" s="339"/>
      <c r="C68" s="339"/>
      <c r="D68" s="339"/>
      <c r="E68" s="339"/>
      <c r="F68" s="339"/>
      <c r="G68" s="339"/>
      <c r="H68" s="339"/>
      <c r="I68" s="339"/>
      <c r="J68" s="339"/>
      <c r="K68" s="339"/>
      <c r="L68" s="339"/>
      <c r="M68" s="339"/>
      <c r="N68" s="339"/>
      <c r="O68" s="339"/>
      <c r="P68" s="339"/>
      <c r="Q68" s="339"/>
      <c r="R68" s="339"/>
      <c r="S68" s="339"/>
      <c r="T68" s="339"/>
      <c r="U68" s="339"/>
      <c r="V68" s="339"/>
      <c r="W68" s="339"/>
      <c r="X68" s="339"/>
      <c r="Y68" s="339"/>
      <c r="Z68" s="339"/>
      <c r="AA68" s="339"/>
      <c r="AB68" s="339"/>
      <c r="AC68" s="339"/>
      <c r="AD68" s="339"/>
      <c r="AE68" s="339"/>
      <c r="AF68" s="339"/>
      <c r="AG68" s="339"/>
      <c r="AH68" s="339"/>
      <c r="AI68" s="339"/>
    </row>
    <row r="69" spans="1:35">
      <c r="A69" s="339"/>
      <c r="B69" s="339"/>
      <c r="C69" s="339"/>
      <c r="D69" s="339"/>
      <c r="E69" s="339"/>
      <c r="F69" s="339"/>
      <c r="G69" s="339"/>
      <c r="H69" s="339"/>
      <c r="I69" s="339"/>
      <c r="J69" s="339"/>
      <c r="K69" s="339"/>
      <c r="L69" s="339"/>
      <c r="M69" s="339"/>
      <c r="N69" s="339"/>
      <c r="O69" s="339"/>
      <c r="P69" s="339"/>
      <c r="Q69" s="339"/>
      <c r="R69" s="339"/>
      <c r="S69" s="339"/>
      <c r="T69" s="339"/>
      <c r="U69" s="339"/>
      <c r="V69" s="339"/>
      <c r="W69" s="339"/>
      <c r="X69" s="339"/>
      <c r="Y69" s="339"/>
      <c r="Z69" s="339"/>
      <c r="AA69" s="339"/>
      <c r="AB69" s="339"/>
      <c r="AC69" s="339"/>
      <c r="AD69" s="339"/>
      <c r="AE69" s="339"/>
      <c r="AF69" s="339"/>
      <c r="AG69" s="339"/>
      <c r="AH69" s="339"/>
      <c r="AI69" s="339"/>
    </row>
    <row r="70" spans="1:35">
      <c r="A70" s="339"/>
      <c r="B70" s="339"/>
      <c r="C70" s="339"/>
      <c r="D70" s="339"/>
      <c r="E70" s="339"/>
      <c r="F70" s="339"/>
      <c r="G70" s="339"/>
      <c r="H70" s="339"/>
      <c r="I70" s="339"/>
      <c r="J70" s="339"/>
      <c r="K70" s="339"/>
      <c r="L70" s="339"/>
      <c r="M70" s="339"/>
      <c r="N70" s="339"/>
      <c r="O70" s="339"/>
      <c r="P70" s="339"/>
      <c r="Q70" s="339"/>
      <c r="R70" s="339"/>
      <c r="S70" s="339"/>
      <c r="T70" s="339"/>
      <c r="U70" s="339"/>
      <c r="V70" s="339"/>
      <c r="W70" s="339"/>
      <c r="X70" s="339"/>
      <c r="Y70" s="339"/>
      <c r="Z70" s="339"/>
      <c r="AA70" s="339"/>
      <c r="AB70" s="339"/>
      <c r="AC70" s="339"/>
      <c r="AD70" s="339"/>
      <c r="AE70" s="339"/>
      <c r="AF70" s="339"/>
      <c r="AG70" s="339"/>
      <c r="AH70" s="339"/>
      <c r="AI70" s="339"/>
    </row>
    <row r="71" spans="1:35">
      <c r="A71" s="339"/>
      <c r="B71" s="339"/>
      <c r="C71" s="339"/>
      <c r="D71" s="339"/>
      <c r="E71" s="339"/>
      <c r="F71" s="339"/>
      <c r="G71" s="339"/>
      <c r="H71" s="339"/>
      <c r="I71" s="339"/>
      <c r="J71" s="339"/>
      <c r="K71" s="339"/>
      <c r="L71" s="339"/>
      <c r="M71" s="339"/>
      <c r="N71" s="339"/>
      <c r="O71" s="339"/>
      <c r="P71" s="339"/>
      <c r="Q71" s="339"/>
      <c r="R71" s="339"/>
      <c r="S71" s="339"/>
      <c r="T71" s="339"/>
      <c r="U71" s="339"/>
      <c r="V71" s="339"/>
      <c r="W71" s="339"/>
      <c r="X71" s="339"/>
      <c r="Y71" s="339"/>
      <c r="Z71" s="339"/>
      <c r="AA71" s="339"/>
      <c r="AB71" s="339"/>
      <c r="AC71" s="339"/>
      <c r="AD71" s="339"/>
      <c r="AE71" s="339"/>
      <c r="AF71" s="339"/>
      <c r="AG71" s="339"/>
      <c r="AH71" s="339"/>
      <c r="AI71" s="339"/>
    </row>
    <row r="72" spans="1:35">
      <c r="A72" s="339"/>
      <c r="B72" s="339"/>
      <c r="C72" s="339"/>
      <c r="D72" s="339"/>
      <c r="E72" s="339"/>
      <c r="F72" s="339"/>
      <c r="G72" s="339"/>
      <c r="H72" s="339"/>
      <c r="I72" s="339"/>
      <c r="J72" s="339"/>
      <c r="K72" s="339"/>
      <c r="L72" s="339"/>
      <c r="M72" s="339"/>
      <c r="N72" s="339"/>
      <c r="O72" s="339"/>
      <c r="P72" s="339"/>
      <c r="Q72" s="339"/>
      <c r="R72" s="339"/>
      <c r="S72" s="339"/>
      <c r="T72" s="339"/>
      <c r="U72" s="339"/>
      <c r="V72" s="339"/>
      <c r="W72" s="339"/>
      <c r="X72" s="339"/>
      <c r="Y72" s="339"/>
      <c r="Z72" s="339"/>
      <c r="AA72" s="339"/>
      <c r="AB72" s="339"/>
      <c r="AC72" s="339"/>
      <c r="AD72" s="339"/>
      <c r="AE72" s="339"/>
      <c r="AF72" s="339"/>
      <c r="AG72" s="339"/>
      <c r="AH72" s="339"/>
      <c r="AI72" s="339"/>
    </row>
    <row r="73" spans="1:35">
      <c r="A73" s="339"/>
      <c r="B73" s="339"/>
      <c r="C73" s="339"/>
      <c r="D73" s="339"/>
      <c r="E73" s="339"/>
      <c r="F73" s="339"/>
      <c r="G73" s="339"/>
      <c r="H73" s="339"/>
      <c r="I73" s="339"/>
      <c r="J73" s="339"/>
      <c r="K73" s="339"/>
      <c r="L73" s="339"/>
      <c r="M73" s="339"/>
      <c r="N73" s="339"/>
      <c r="O73" s="339"/>
      <c r="P73" s="339"/>
      <c r="Q73" s="339"/>
      <c r="R73" s="339"/>
      <c r="S73" s="339"/>
      <c r="T73" s="339"/>
      <c r="U73" s="339"/>
      <c r="V73" s="339"/>
      <c r="W73" s="339"/>
      <c r="X73" s="339"/>
      <c r="Y73" s="339"/>
      <c r="Z73" s="339"/>
      <c r="AA73" s="339"/>
      <c r="AB73" s="339"/>
      <c r="AC73" s="339"/>
      <c r="AD73" s="339"/>
      <c r="AE73" s="339"/>
      <c r="AF73" s="339"/>
      <c r="AG73" s="339"/>
      <c r="AH73" s="339"/>
      <c r="AI73" s="339"/>
    </row>
    <row r="74" spans="1:35">
      <c r="A74" s="339"/>
      <c r="B74" s="339"/>
      <c r="C74" s="339"/>
      <c r="D74" s="339"/>
      <c r="E74" s="339"/>
      <c r="F74" s="339"/>
      <c r="G74" s="339"/>
      <c r="H74" s="339"/>
      <c r="I74" s="339"/>
      <c r="J74" s="339"/>
      <c r="K74" s="339"/>
      <c r="L74" s="339"/>
      <c r="M74" s="339"/>
      <c r="N74" s="339"/>
      <c r="O74" s="339"/>
      <c r="P74" s="339"/>
      <c r="Q74" s="339"/>
      <c r="R74" s="339"/>
      <c r="S74" s="339"/>
      <c r="T74" s="339"/>
      <c r="U74" s="339"/>
      <c r="V74" s="339"/>
      <c r="W74" s="339"/>
      <c r="X74" s="339"/>
      <c r="Y74" s="339"/>
      <c r="Z74" s="339"/>
      <c r="AA74" s="339"/>
      <c r="AB74" s="339"/>
      <c r="AC74" s="339"/>
      <c r="AD74" s="339"/>
      <c r="AE74" s="339"/>
      <c r="AF74" s="339"/>
      <c r="AG74" s="339"/>
      <c r="AH74" s="339"/>
      <c r="AI74" s="339"/>
    </row>
    <row r="75" spans="1:35">
      <c r="A75" s="339"/>
      <c r="B75" s="339"/>
      <c r="C75" s="339"/>
      <c r="D75" s="339"/>
      <c r="E75" s="339"/>
      <c r="F75" s="339"/>
      <c r="G75" s="339"/>
      <c r="H75" s="339"/>
      <c r="I75" s="339"/>
      <c r="J75" s="339"/>
      <c r="K75" s="339"/>
      <c r="L75" s="339"/>
      <c r="M75" s="339"/>
      <c r="N75" s="339"/>
      <c r="O75" s="339"/>
      <c r="P75" s="339"/>
      <c r="Q75" s="339"/>
      <c r="R75" s="339"/>
      <c r="S75" s="339"/>
      <c r="T75" s="339"/>
      <c r="U75" s="339"/>
      <c r="V75" s="339"/>
      <c r="W75" s="339"/>
      <c r="X75" s="339"/>
      <c r="Y75" s="339"/>
      <c r="Z75" s="339"/>
      <c r="AA75" s="339"/>
      <c r="AB75" s="339"/>
      <c r="AC75" s="339"/>
      <c r="AD75" s="339"/>
      <c r="AE75" s="339"/>
      <c r="AF75" s="339"/>
      <c r="AG75" s="339"/>
      <c r="AH75" s="339"/>
      <c r="AI75" s="339"/>
    </row>
    <row r="76" spans="1:35">
      <c r="A76" s="339"/>
      <c r="B76" s="339"/>
      <c r="C76" s="339"/>
      <c r="D76" s="339"/>
      <c r="E76" s="339"/>
      <c r="F76" s="339"/>
      <c r="G76" s="339"/>
      <c r="H76" s="339"/>
      <c r="I76" s="339"/>
      <c r="J76" s="339"/>
      <c r="K76" s="339"/>
      <c r="L76" s="339"/>
      <c r="M76" s="339"/>
      <c r="N76" s="339"/>
      <c r="O76" s="339"/>
      <c r="P76" s="339"/>
      <c r="Q76" s="339"/>
      <c r="R76" s="339"/>
      <c r="S76" s="339"/>
      <c r="T76" s="339"/>
      <c r="U76" s="339"/>
      <c r="V76" s="339"/>
      <c r="W76" s="339"/>
      <c r="X76" s="339"/>
      <c r="Y76" s="339"/>
      <c r="Z76" s="339"/>
      <c r="AA76" s="339"/>
      <c r="AB76" s="339"/>
      <c r="AC76" s="339"/>
      <c r="AD76" s="339"/>
      <c r="AE76" s="339"/>
      <c r="AF76" s="339"/>
      <c r="AG76" s="339"/>
      <c r="AH76" s="339"/>
      <c r="AI76" s="339"/>
    </row>
    <row r="77" spans="1:35">
      <c r="A77" s="339"/>
      <c r="B77" s="339"/>
      <c r="C77" s="339"/>
      <c r="D77" s="339"/>
      <c r="E77" s="339"/>
      <c r="F77" s="339"/>
      <c r="G77" s="339"/>
      <c r="H77" s="339"/>
      <c r="I77" s="339"/>
      <c r="J77" s="339"/>
      <c r="K77" s="339"/>
      <c r="L77" s="339"/>
      <c r="M77" s="339"/>
      <c r="N77" s="339"/>
      <c r="O77" s="339"/>
      <c r="P77" s="339"/>
      <c r="Q77" s="339"/>
      <c r="R77" s="339"/>
      <c r="S77" s="339"/>
      <c r="T77" s="339"/>
      <c r="U77" s="339"/>
      <c r="V77" s="339"/>
      <c r="W77" s="339"/>
      <c r="X77" s="339"/>
      <c r="Y77" s="339"/>
      <c r="Z77" s="339"/>
      <c r="AA77" s="339"/>
      <c r="AB77" s="339"/>
      <c r="AC77" s="339"/>
      <c r="AD77" s="339"/>
      <c r="AE77" s="339"/>
      <c r="AF77" s="339"/>
      <c r="AG77" s="339"/>
      <c r="AH77" s="339"/>
      <c r="AI77" s="339"/>
    </row>
    <row r="78" spans="1:35">
      <c r="A78" s="339"/>
      <c r="B78" s="339"/>
      <c r="C78" s="339"/>
      <c r="D78" s="339"/>
      <c r="E78" s="339"/>
      <c r="F78" s="339"/>
      <c r="G78" s="339"/>
      <c r="H78" s="339"/>
      <c r="I78" s="339"/>
      <c r="J78" s="339"/>
      <c r="K78" s="339"/>
      <c r="L78" s="339"/>
      <c r="M78" s="339"/>
      <c r="N78" s="339"/>
      <c r="O78" s="339"/>
      <c r="P78" s="339"/>
      <c r="Q78" s="339"/>
      <c r="R78" s="339"/>
      <c r="S78" s="339"/>
      <c r="T78" s="339"/>
      <c r="U78" s="339"/>
      <c r="V78" s="339"/>
      <c r="W78" s="339"/>
      <c r="X78" s="339"/>
      <c r="Y78" s="339"/>
      <c r="Z78" s="339"/>
      <c r="AA78" s="339"/>
      <c r="AB78" s="339"/>
      <c r="AC78" s="339"/>
      <c r="AD78" s="339"/>
      <c r="AE78" s="339"/>
      <c r="AF78" s="339"/>
      <c r="AG78" s="339"/>
      <c r="AH78" s="339"/>
      <c r="AI78" s="339"/>
    </row>
    <row r="79" spans="1:35">
      <c r="A79" s="339"/>
      <c r="B79" s="339"/>
      <c r="C79" s="339"/>
      <c r="D79" s="339"/>
      <c r="E79" s="339"/>
      <c r="F79" s="339"/>
      <c r="G79" s="339"/>
      <c r="H79" s="339"/>
      <c r="I79" s="339"/>
      <c r="J79" s="339"/>
      <c r="K79" s="339"/>
      <c r="L79" s="339"/>
      <c r="M79" s="339"/>
      <c r="N79" s="339"/>
      <c r="O79" s="339"/>
      <c r="P79" s="339"/>
      <c r="Q79" s="339"/>
      <c r="R79" s="339"/>
      <c r="S79" s="339"/>
      <c r="T79" s="339"/>
      <c r="U79" s="339"/>
      <c r="V79" s="339"/>
      <c r="W79" s="339"/>
      <c r="X79" s="339"/>
      <c r="Y79" s="339"/>
      <c r="Z79" s="339"/>
      <c r="AA79" s="339"/>
      <c r="AB79" s="339"/>
      <c r="AC79" s="339"/>
      <c r="AD79" s="339"/>
      <c r="AE79" s="339"/>
      <c r="AF79" s="339"/>
      <c r="AG79" s="339"/>
      <c r="AH79" s="339"/>
      <c r="AI79" s="339"/>
    </row>
    <row r="80" spans="1:35">
      <c r="A80" s="339"/>
      <c r="B80" s="339"/>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39"/>
      <c r="AG80" s="339"/>
      <c r="AH80" s="339"/>
      <c r="AI80" s="339"/>
    </row>
    <row r="81" spans="1:35">
      <c r="A81" s="339"/>
      <c r="B81" s="339"/>
      <c r="C81" s="339"/>
      <c r="D81" s="339"/>
      <c r="E81" s="339"/>
      <c r="F81" s="339"/>
      <c r="G81" s="339"/>
      <c r="H81" s="339"/>
      <c r="I81" s="339"/>
      <c r="J81" s="339"/>
      <c r="K81" s="339"/>
      <c r="L81" s="339"/>
      <c r="M81" s="339"/>
      <c r="N81" s="339"/>
      <c r="O81" s="339"/>
      <c r="P81" s="339"/>
      <c r="Q81" s="339"/>
      <c r="R81" s="339"/>
      <c r="S81" s="339"/>
      <c r="T81" s="339"/>
      <c r="U81" s="339"/>
      <c r="V81" s="339"/>
      <c r="W81" s="339"/>
      <c r="X81" s="339"/>
      <c r="Y81" s="339"/>
      <c r="Z81" s="339"/>
      <c r="AA81" s="339"/>
      <c r="AB81" s="339"/>
      <c r="AC81" s="339"/>
      <c r="AD81" s="339"/>
      <c r="AE81" s="339"/>
      <c r="AF81" s="339"/>
      <c r="AG81" s="339"/>
      <c r="AH81" s="339"/>
      <c r="AI81" s="339"/>
    </row>
    <row r="82" spans="1:35">
      <c r="A82" s="339"/>
      <c r="B82" s="339"/>
      <c r="C82" s="339"/>
      <c r="D82" s="339"/>
      <c r="E82" s="339"/>
      <c r="F82" s="339"/>
      <c r="G82" s="339"/>
      <c r="H82" s="339"/>
      <c r="I82" s="339"/>
      <c r="J82" s="339"/>
      <c r="K82" s="339"/>
      <c r="L82" s="339"/>
      <c r="M82" s="339"/>
      <c r="N82" s="339"/>
      <c r="O82" s="339"/>
      <c r="P82" s="339"/>
      <c r="Q82" s="339"/>
      <c r="R82" s="339"/>
      <c r="S82" s="339"/>
      <c r="T82" s="339"/>
      <c r="U82" s="339"/>
      <c r="V82" s="339"/>
      <c r="W82" s="339"/>
      <c r="X82" s="339"/>
      <c r="Y82" s="339"/>
      <c r="Z82" s="339"/>
      <c r="AA82" s="339"/>
      <c r="AB82" s="339"/>
      <c r="AC82" s="339"/>
      <c r="AD82" s="339"/>
      <c r="AE82" s="339"/>
      <c r="AF82" s="339"/>
      <c r="AG82" s="339"/>
      <c r="AH82" s="339"/>
      <c r="AI82" s="339"/>
    </row>
    <row r="83" spans="1:35">
      <c r="A83" s="339"/>
      <c r="B83" s="339"/>
      <c r="C83" s="339"/>
      <c r="D83" s="339"/>
      <c r="E83" s="339"/>
      <c r="F83" s="339"/>
      <c r="G83" s="339"/>
      <c r="H83" s="339"/>
      <c r="I83" s="339"/>
      <c r="J83" s="339"/>
      <c r="K83" s="339"/>
      <c r="L83" s="339"/>
      <c r="M83" s="339"/>
      <c r="N83" s="339"/>
      <c r="O83" s="339"/>
      <c r="P83" s="339"/>
      <c r="Q83" s="339"/>
      <c r="R83" s="339"/>
      <c r="S83" s="339"/>
      <c r="T83" s="339"/>
      <c r="U83" s="339"/>
      <c r="V83" s="339"/>
      <c r="W83" s="339"/>
      <c r="X83" s="339"/>
      <c r="Y83" s="339"/>
      <c r="Z83" s="339"/>
      <c r="AA83" s="339"/>
      <c r="AB83" s="339"/>
      <c r="AC83" s="339"/>
      <c r="AD83" s="339"/>
      <c r="AE83" s="339"/>
      <c r="AF83" s="339"/>
      <c r="AG83" s="339"/>
      <c r="AH83" s="339"/>
      <c r="AI83" s="339"/>
    </row>
    <row r="84" spans="1:35">
      <c r="A84" s="339"/>
      <c r="B84" s="339"/>
      <c r="C84" s="339"/>
      <c r="D84" s="339"/>
      <c r="E84" s="339"/>
      <c r="F84" s="339"/>
      <c r="G84" s="339"/>
      <c r="H84" s="339"/>
      <c r="I84" s="339"/>
      <c r="J84" s="339"/>
      <c r="K84" s="339"/>
      <c r="L84" s="339"/>
      <c r="M84" s="339"/>
      <c r="N84" s="339"/>
      <c r="O84" s="339"/>
      <c r="P84" s="339"/>
      <c r="Q84" s="339"/>
      <c r="R84" s="339"/>
      <c r="S84" s="339"/>
      <c r="T84" s="339"/>
      <c r="U84" s="339"/>
      <c r="V84" s="339"/>
      <c r="W84" s="339"/>
      <c r="X84" s="339"/>
      <c r="Y84" s="339"/>
      <c r="Z84" s="339"/>
      <c r="AA84" s="339"/>
      <c r="AB84" s="339"/>
      <c r="AC84" s="339"/>
      <c r="AD84" s="339"/>
      <c r="AE84" s="339"/>
      <c r="AF84" s="339"/>
      <c r="AG84" s="339"/>
      <c r="AH84" s="339"/>
      <c r="AI84" s="339"/>
    </row>
    <row r="85" spans="1:35">
      <c r="A85" s="339"/>
      <c r="B85" s="339"/>
      <c r="C85" s="339"/>
      <c r="D85" s="339"/>
      <c r="E85" s="339"/>
      <c r="F85" s="339"/>
      <c r="G85" s="339"/>
      <c r="H85" s="339"/>
      <c r="I85" s="339"/>
      <c r="J85" s="339"/>
      <c r="K85" s="339"/>
      <c r="L85" s="339"/>
      <c r="M85" s="339"/>
      <c r="N85" s="339"/>
      <c r="O85" s="339"/>
      <c r="P85" s="339"/>
      <c r="Q85" s="339"/>
      <c r="R85" s="339"/>
      <c r="S85" s="339"/>
      <c r="T85" s="339"/>
      <c r="U85" s="339"/>
      <c r="V85" s="339"/>
      <c r="W85" s="339"/>
      <c r="X85" s="339"/>
      <c r="Y85" s="339"/>
      <c r="Z85" s="339"/>
      <c r="AA85" s="339"/>
      <c r="AB85" s="339"/>
      <c r="AC85" s="339"/>
      <c r="AD85" s="339"/>
      <c r="AE85" s="339"/>
      <c r="AF85" s="339"/>
      <c r="AG85" s="339"/>
      <c r="AH85" s="339"/>
      <c r="AI85" s="339"/>
    </row>
    <row r="86" spans="1:35">
      <c r="A86" s="339"/>
      <c r="B86" s="339"/>
      <c r="C86" s="339"/>
      <c r="D86" s="339"/>
      <c r="E86" s="339"/>
      <c r="F86" s="339"/>
      <c r="G86" s="339"/>
      <c r="H86" s="339"/>
      <c r="I86" s="339"/>
      <c r="J86" s="339"/>
      <c r="K86" s="339"/>
      <c r="L86" s="339"/>
      <c r="M86" s="339"/>
      <c r="N86" s="339"/>
      <c r="O86" s="339"/>
      <c r="P86" s="339"/>
      <c r="Q86" s="339"/>
      <c r="R86" s="339"/>
      <c r="S86" s="339"/>
      <c r="T86" s="339"/>
      <c r="U86" s="339"/>
      <c r="V86" s="339"/>
      <c r="W86" s="339"/>
      <c r="X86" s="339"/>
      <c r="Y86" s="339"/>
      <c r="Z86" s="339"/>
      <c r="AA86" s="339"/>
      <c r="AB86" s="339"/>
      <c r="AC86" s="339"/>
      <c r="AD86" s="339"/>
      <c r="AE86" s="339"/>
      <c r="AF86" s="339"/>
      <c r="AG86" s="339"/>
      <c r="AH86" s="339"/>
      <c r="AI86" s="339"/>
    </row>
    <row r="87" spans="1:35">
      <c r="A87" s="339"/>
      <c r="B87" s="339"/>
      <c r="C87" s="339"/>
      <c r="D87" s="339"/>
      <c r="E87" s="339"/>
      <c r="F87" s="339"/>
      <c r="G87" s="339"/>
      <c r="H87" s="339"/>
      <c r="I87" s="339"/>
      <c r="J87" s="339"/>
      <c r="K87" s="339"/>
      <c r="L87" s="339"/>
      <c r="M87" s="339"/>
      <c r="N87" s="339"/>
      <c r="O87" s="339"/>
      <c r="P87" s="339"/>
      <c r="Q87" s="339"/>
      <c r="R87" s="339"/>
      <c r="S87" s="339"/>
      <c r="T87" s="339"/>
      <c r="U87" s="339"/>
      <c r="V87" s="339"/>
      <c r="W87" s="339"/>
      <c r="X87" s="339"/>
      <c r="Y87" s="339"/>
      <c r="Z87" s="339"/>
      <c r="AA87" s="339"/>
      <c r="AB87" s="339"/>
      <c r="AC87" s="339"/>
      <c r="AD87" s="339"/>
      <c r="AE87" s="339"/>
      <c r="AF87" s="339"/>
      <c r="AG87" s="339"/>
      <c r="AH87" s="339"/>
      <c r="AI87" s="339"/>
    </row>
    <row r="88" spans="1:35">
      <c r="A88" s="339"/>
      <c r="B88" s="339"/>
      <c r="C88" s="339"/>
      <c r="D88" s="339"/>
      <c r="E88" s="339"/>
      <c r="F88" s="339"/>
      <c r="G88" s="339"/>
      <c r="H88" s="339"/>
      <c r="I88" s="339"/>
      <c r="J88" s="339"/>
      <c r="K88" s="339"/>
      <c r="L88" s="339"/>
      <c r="M88" s="339"/>
      <c r="N88" s="339"/>
      <c r="O88" s="339"/>
      <c r="P88" s="339"/>
      <c r="Q88" s="339"/>
      <c r="R88" s="339"/>
      <c r="S88" s="339"/>
      <c r="T88" s="339"/>
      <c r="U88" s="339"/>
      <c r="V88" s="339"/>
      <c r="W88" s="339"/>
      <c r="X88" s="339"/>
      <c r="Y88" s="339"/>
      <c r="Z88" s="339"/>
      <c r="AA88" s="339"/>
      <c r="AB88" s="339"/>
      <c r="AC88" s="339"/>
      <c r="AD88" s="339"/>
      <c r="AE88" s="339"/>
      <c r="AF88" s="339"/>
      <c r="AG88" s="339"/>
      <c r="AH88" s="339"/>
      <c r="AI88" s="339"/>
    </row>
    <row r="89" spans="1:35">
      <c r="A89" s="339"/>
      <c r="B89" s="339"/>
      <c r="C89" s="339"/>
      <c r="D89" s="339"/>
      <c r="E89" s="339"/>
      <c r="F89" s="339"/>
      <c r="G89" s="339"/>
      <c r="H89" s="339"/>
      <c r="I89" s="339"/>
      <c r="J89" s="339"/>
      <c r="K89" s="339"/>
      <c r="L89" s="339"/>
      <c r="M89" s="339"/>
      <c r="N89" s="339"/>
      <c r="O89" s="339"/>
      <c r="P89" s="339"/>
      <c r="Q89" s="339"/>
      <c r="R89" s="339"/>
      <c r="S89" s="339"/>
      <c r="T89" s="339"/>
      <c r="U89" s="339"/>
      <c r="V89" s="339"/>
      <c r="W89" s="339"/>
      <c r="X89" s="339"/>
      <c r="Y89" s="339"/>
      <c r="Z89" s="339"/>
      <c r="AA89" s="339"/>
      <c r="AB89" s="339"/>
      <c r="AC89" s="339"/>
      <c r="AD89" s="339"/>
      <c r="AE89" s="339"/>
      <c r="AF89" s="339"/>
      <c r="AG89" s="339"/>
      <c r="AH89" s="339"/>
      <c r="AI89" s="339"/>
    </row>
    <row r="90" spans="1:35">
      <c r="A90" s="339"/>
      <c r="B90" s="339"/>
      <c r="C90" s="339"/>
      <c r="D90" s="339"/>
      <c r="E90" s="339"/>
      <c r="F90" s="339"/>
      <c r="G90" s="339"/>
      <c r="H90" s="339"/>
      <c r="I90" s="339"/>
      <c r="J90" s="339"/>
      <c r="K90" s="339"/>
      <c r="L90" s="339"/>
      <c r="M90" s="339"/>
      <c r="N90" s="339"/>
      <c r="O90" s="339"/>
      <c r="P90" s="339"/>
      <c r="Q90" s="339"/>
      <c r="R90" s="339"/>
      <c r="S90" s="339"/>
      <c r="T90" s="339"/>
      <c r="U90" s="339"/>
      <c r="V90" s="339"/>
      <c r="W90" s="339"/>
      <c r="X90" s="339"/>
      <c r="Y90" s="339"/>
      <c r="Z90" s="339"/>
      <c r="AA90" s="339"/>
      <c r="AB90" s="339"/>
      <c r="AC90" s="339"/>
      <c r="AD90" s="339"/>
      <c r="AE90" s="339"/>
      <c r="AF90" s="339"/>
      <c r="AG90" s="339"/>
      <c r="AH90" s="339"/>
      <c r="AI90" s="339"/>
    </row>
    <row r="91" spans="1:35">
      <c r="A91" s="339"/>
      <c r="B91" s="339"/>
      <c r="C91" s="339"/>
      <c r="D91" s="339"/>
      <c r="E91" s="339"/>
      <c r="F91" s="339"/>
      <c r="G91" s="339"/>
      <c r="H91" s="339"/>
      <c r="I91" s="339"/>
      <c r="J91" s="339"/>
      <c r="K91" s="339"/>
      <c r="L91" s="339"/>
      <c r="M91" s="339"/>
      <c r="N91" s="339"/>
      <c r="O91" s="339"/>
      <c r="P91" s="339"/>
      <c r="Q91" s="339"/>
      <c r="R91" s="339"/>
      <c r="S91" s="339"/>
      <c r="T91" s="339"/>
      <c r="U91" s="339"/>
      <c r="V91" s="339"/>
      <c r="W91" s="339"/>
      <c r="X91" s="339"/>
      <c r="Y91" s="339"/>
      <c r="Z91" s="339"/>
      <c r="AA91" s="339"/>
      <c r="AB91" s="339"/>
      <c r="AC91" s="339"/>
      <c r="AD91" s="339"/>
      <c r="AE91" s="339"/>
      <c r="AF91" s="339"/>
      <c r="AG91" s="339"/>
      <c r="AH91" s="339"/>
      <c r="AI91" s="339"/>
    </row>
    <row r="92" spans="1:35">
      <c r="A92" s="339"/>
      <c r="B92" s="339"/>
      <c r="C92" s="339"/>
      <c r="D92" s="339"/>
      <c r="E92" s="339"/>
      <c r="F92" s="339"/>
      <c r="G92" s="339"/>
      <c r="H92" s="339"/>
      <c r="I92" s="339"/>
      <c r="J92" s="339"/>
      <c r="K92" s="339"/>
      <c r="L92" s="339"/>
      <c r="M92" s="339"/>
      <c r="N92" s="339"/>
      <c r="O92" s="339"/>
      <c r="P92" s="339"/>
      <c r="Q92" s="339"/>
      <c r="R92" s="339"/>
      <c r="S92" s="339"/>
      <c r="T92" s="339"/>
      <c r="U92" s="339"/>
      <c r="V92" s="339"/>
      <c r="W92" s="339"/>
      <c r="X92" s="339"/>
      <c r="Y92" s="339"/>
      <c r="Z92" s="339"/>
      <c r="AA92" s="339"/>
      <c r="AB92" s="339"/>
      <c r="AC92" s="339"/>
      <c r="AD92" s="339"/>
      <c r="AE92" s="339"/>
      <c r="AF92" s="339"/>
      <c r="AG92" s="339"/>
      <c r="AH92" s="339"/>
      <c r="AI92" s="339"/>
    </row>
    <row r="93" spans="1:35">
      <c r="A93" s="339"/>
      <c r="B93" s="339"/>
      <c r="C93" s="339"/>
      <c r="D93" s="339"/>
      <c r="E93" s="339"/>
      <c r="F93" s="339"/>
      <c r="G93" s="339"/>
      <c r="H93" s="339"/>
      <c r="I93" s="339"/>
      <c r="J93" s="339"/>
      <c r="K93" s="339"/>
      <c r="L93" s="339"/>
      <c r="M93" s="339"/>
      <c r="N93" s="339"/>
      <c r="O93" s="339"/>
      <c r="P93" s="339"/>
      <c r="Q93" s="339"/>
      <c r="R93" s="339"/>
      <c r="S93" s="339"/>
      <c r="T93" s="339"/>
      <c r="U93" s="339"/>
      <c r="V93" s="339"/>
      <c r="W93" s="339"/>
      <c r="X93" s="339"/>
      <c r="Y93" s="339"/>
      <c r="Z93" s="339"/>
      <c r="AA93" s="339"/>
      <c r="AB93" s="339"/>
      <c r="AC93" s="339"/>
      <c r="AD93" s="339"/>
      <c r="AE93" s="339"/>
      <c r="AF93" s="339"/>
      <c r="AG93" s="339"/>
      <c r="AH93" s="339"/>
      <c r="AI93" s="339"/>
    </row>
    <row r="94" spans="1:35">
      <c r="A94" s="339"/>
      <c r="B94" s="339"/>
      <c r="C94" s="339"/>
      <c r="D94" s="339"/>
      <c r="E94" s="339"/>
      <c r="F94" s="339"/>
      <c r="G94" s="339"/>
      <c r="H94" s="339"/>
      <c r="I94" s="339"/>
      <c r="J94" s="339"/>
      <c r="K94" s="339"/>
      <c r="L94" s="339"/>
      <c r="M94" s="339"/>
      <c r="N94" s="339"/>
      <c r="O94" s="339"/>
      <c r="P94" s="339"/>
      <c r="Q94" s="339"/>
      <c r="R94" s="339"/>
      <c r="S94" s="339"/>
      <c r="T94" s="339"/>
      <c r="U94" s="339"/>
      <c r="V94" s="339"/>
      <c r="W94" s="339"/>
      <c r="X94" s="339"/>
      <c r="Y94" s="339"/>
      <c r="Z94" s="339"/>
      <c r="AA94" s="339"/>
      <c r="AB94" s="339"/>
      <c r="AC94" s="339"/>
      <c r="AD94" s="339"/>
      <c r="AE94" s="339"/>
      <c r="AF94" s="339"/>
      <c r="AG94" s="339"/>
      <c r="AH94" s="339"/>
      <c r="AI94" s="339"/>
    </row>
    <row r="95" spans="1:35">
      <c r="A95" s="339"/>
      <c r="B95" s="339"/>
      <c r="C95" s="339"/>
      <c r="D95" s="339"/>
      <c r="E95" s="339"/>
      <c r="F95" s="339"/>
      <c r="G95" s="339"/>
      <c r="H95" s="339"/>
      <c r="I95" s="339"/>
      <c r="J95" s="339"/>
      <c r="K95" s="339"/>
      <c r="L95" s="339"/>
      <c r="M95" s="339"/>
      <c r="N95" s="339"/>
      <c r="O95" s="339"/>
      <c r="P95" s="339"/>
      <c r="Q95" s="339"/>
      <c r="R95" s="339"/>
      <c r="S95" s="339"/>
      <c r="T95" s="339"/>
      <c r="U95" s="339"/>
      <c r="V95" s="339"/>
      <c r="W95" s="339"/>
      <c r="X95" s="339"/>
      <c r="Y95" s="339"/>
      <c r="Z95" s="339"/>
      <c r="AA95" s="339"/>
      <c r="AB95" s="339"/>
      <c r="AC95" s="339"/>
      <c r="AD95" s="339"/>
      <c r="AE95" s="339"/>
      <c r="AF95" s="339"/>
      <c r="AG95" s="339"/>
      <c r="AH95" s="339"/>
      <c r="AI95" s="339"/>
    </row>
    <row r="96" spans="1:35">
      <c r="A96" s="339"/>
      <c r="B96" s="339"/>
      <c r="C96" s="339"/>
      <c r="D96" s="339"/>
      <c r="E96" s="339"/>
      <c r="F96" s="339"/>
      <c r="G96" s="339"/>
      <c r="H96" s="339"/>
      <c r="I96" s="339"/>
      <c r="J96" s="339"/>
      <c r="K96" s="339"/>
      <c r="L96" s="339"/>
      <c r="M96" s="339"/>
      <c r="N96" s="339"/>
      <c r="O96" s="339"/>
      <c r="P96" s="339"/>
      <c r="Q96" s="339"/>
      <c r="R96" s="339"/>
      <c r="S96" s="339"/>
      <c r="T96" s="339"/>
      <c r="U96" s="339"/>
      <c r="V96" s="339"/>
      <c r="W96" s="339"/>
      <c r="X96" s="339"/>
      <c r="Y96" s="339"/>
      <c r="Z96" s="339"/>
      <c r="AA96" s="339"/>
      <c r="AB96" s="339"/>
      <c r="AC96" s="339"/>
      <c r="AD96" s="339"/>
      <c r="AE96" s="339"/>
      <c r="AF96" s="339"/>
      <c r="AG96" s="339"/>
      <c r="AH96" s="339"/>
      <c r="AI96" s="339"/>
    </row>
    <row r="97" spans="1:35">
      <c r="A97" s="339"/>
      <c r="B97" s="339"/>
      <c r="C97" s="339"/>
      <c r="D97" s="339"/>
      <c r="E97" s="339"/>
      <c r="F97" s="339"/>
      <c r="G97" s="339"/>
      <c r="H97" s="339"/>
      <c r="I97" s="339"/>
      <c r="J97" s="339"/>
      <c r="K97" s="339"/>
      <c r="L97" s="339"/>
      <c r="M97" s="339"/>
      <c r="N97" s="339"/>
      <c r="O97" s="339"/>
      <c r="P97" s="339"/>
      <c r="Q97" s="339"/>
      <c r="R97" s="339"/>
      <c r="S97" s="339"/>
      <c r="T97" s="339"/>
      <c r="U97" s="339"/>
      <c r="V97" s="339"/>
      <c r="W97" s="339"/>
      <c r="X97" s="339"/>
      <c r="Y97" s="339"/>
      <c r="Z97" s="339"/>
      <c r="AA97" s="339"/>
      <c r="AB97" s="339"/>
      <c r="AC97" s="339"/>
      <c r="AD97" s="339"/>
      <c r="AE97" s="339"/>
      <c r="AF97" s="339"/>
      <c r="AG97" s="339"/>
      <c r="AH97" s="339"/>
      <c r="AI97" s="339"/>
    </row>
    <row r="98" spans="1:35">
      <c r="A98" s="339"/>
      <c r="B98" s="339"/>
      <c r="C98" s="339"/>
      <c r="D98" s="339"/>
      <c r="E98" s="339"/>
      <c r="F98" s="339"/>
      <c r="G98" s="339"/>
      <c r="H98" s="339"/>
      <c r="I98" s="339"/>
      <c r="J98" s="339"/>
      <c r="K98" s="339"/>
      <c r="L98" s="339"/>
      <c r="M98" s="339"/>
      <c r="N98" s="339"/>
      <c r="O98" s="339"/>
      <c r="P98" s="339"/>
      <c r="Q98" s="339"/>
      <c r="R98" s="339"/>
      <c r="S98" s="339"/>
      <c r="T98" s="339"/>
      <c r="U98" s="339"/>
      <c r="V98" s="339"/>
      <c r="W98" s="339"/>
      <c r="X98" s="339"/>
      <c r="Y98" s="339"/>
      <c r="Z98" s="339"/>
      <c r="AA98" s="339"/>
      <c r="AB98" s="339"/>
      <c r="AC98" s="339"/>
      <c r="AD98" s="339"/>
      <c r="AE98" s="339"/>
      <c r="AF98" s="339"/>
      <c r="AG98" s="339"/>
      <c r="AH98" s="339"/>
      <c r="AI98" s="339"/>
    </row>
    <row r="99" spans="1:35">
      <c r="A99" s="339"/>
      <c r="B99" s="339"/>
      <c r="C99" s="339"/>
      <c r="D99" s="339"/>
      <c r="E99" s="339"/>
      <c r="F99" s="339"/>
      <c r="G99" s="339"/>
      <c r="H99" s="339"/>
      <c r="I99" s="339"/>
      <c r="J99" s="339"/>
      <c r="K99" s="339"/>
      <c r="L99" s="339"/>
      <c r="M99" s="339"/>
      <c r="N99" s="339"/>
      <c r="O99" s="339"/>
      <c r="P99" s="339"/>
      <c r="Q99" s="339"/>
      <c r="R99" s="339"/>
      <c r="S99" s="339"/>
      <c r="T99" s="339"/>
      <c r="U99" s="339"/>
      <c r="V99" s="339"/>
      <c r="W99" s="339"/>
      <c r="X99" s="339"/>
      <c r="Y99" s="339"/>
      <c r="Z99" s="339"/>
      <c r="AA99" s="339"/>
      <c r="AB99" s="339"/>
      <c r="AC99" s="339"/>
      <c r="AD99" s="339"/>
      <c r="AE99" s="339"/>
      <c r="AF99" s="339"/>
      <c r="AG99" s="339"/>
      <c r="AH99" s="339"/>
      <c r="AI99" s="339"/>
    </row>
    <row r="100" spans="1:35">
      <c r="A100" s="339"/>
      <c r="B100" s="339"/>
      <c r="C100" s="339"/>
      <c r="D100" s="339"/>
      <c r="E100" s="339"/>
      <c r="F100" s="339"/>
      <c r="G100" s="339"/>
      <c r="H100" s="339"/>
      <c r="I100" s="339"/>
      <c r="J100" s="339"/>
      <c r="K100" s="339"/>
      <c r="L100" s="339"/>
      <c r="M100" s="339"/>
      <c r="N100" s="339"/>
      <c r="O100" s="339"/>
      <c r="P100" s="339"/>
      <c r="Q100" s="339"/>
      <c r="R100" s="339"/>
      <c r="S100" s="339"/>
      <c r="T100" s="339"/>
      <c r="U100" s="339"/>
      <c r="V100" s="339"/>
      <c r="W100" s="339"/>
      <c r="X100" s="339"/>
      <c r="Y100" s="339"/>
      <c r="Z100" s="339"/>
      <c r="AA100" s="339"/>
      <c r="AB100" s="339"/>
      <c r="AC100" s="339"/>
      <c r="AD100" s="339"/>
      <c r="AE100" s="339"/>
      <c r="AF100" s="339"/>
      <c r="AG100" s="339"/>
      <c r="AH100" s="339"/>
      <c r="AI100" s="339"/>
    </row>
    <row r="101" spans="1:35">
      <c r="A101" s="339"/>
      <c r="B101" s="339"/>
      <c r="C101" s="339"/>
      <c r="D101" s="339"/>
      <c r="E101" s="339"/>
      <c r="F101" s="339"/>
      <c r="G101" s="339"/>
      <c r="H101" s="339"/>
      <c r="I101" s="339"/>
      <c r="J101" s="339"/>
      <c r="K101" s="339"/>
      <c r="L101" s="339"/>
      <c r="M101" s="339"/>
      <c r="N101" s="339"/>
      <c r="O101" s="339"/>
      <c r="P101" s="339"/>
      <c r="Q101" s="339"/>
      <c r="R101" s="339"/>
      <c r="S101" s="339"/>
      <c r="T101" s="339"/>
      <c r="U101" s="339"/>
      <c r="V101" s="339"/>
      <c r="W101" s="339"/>
      <c r="X101" s="339"/>
      <c r="Y101" s="339"/>
      <c r="Z101" s="339"/>
      <c r="AA101" s="339"/>
      <c r="AB101" s="339"/>
      <c r="AC101" s="339"/>
      <c r="AD101" s="339"/>
      <c r="AE101" s="339"/>
      <c r="AF101" s="339"/>
      <c r="AG101" s="339"/>
      <c r="AH101" s="339"/>
      <c r="AI101" s="339"/>
    </row>
    <row r="102" spans="1:35">
      <c r="A102" s="339"/>
      <c r="B102" s="339"/>
      <c r="C102" s="339"/>
      <c r="D102" s="339"/>
      <c r="E102" s="339"/>
      <c r="F102" s="339"/>
      <c r="G102" s="339"/>
      <c r="H102" s="339"/>
      <c r="I102" s="339"/>
      <c r="J102" s="339"/>
      <c r="K102" s="339"/>
      <c r="L102" s="339"/>
      <c r="M102" s="339"/>
      <c r="N102" s="339"/>
      <c r="O102" s="339"/>
      <c r="P102" s="339"/>
      <c r="Q102" s="339"/>
      <c r="R102" s="339"/>
      <c r="S102" s="339"/>
      <c r="T102" s="339"/>
      <c r="U102" s="339"/>
      <c r="V102" s="339"/>
      <c r="W102" s="339"/>
      <c r="X102" s="339"/>
      <c r="Y102" s="339"/>
      <c r="Z102" s="339"/>
      <c r="AA102" s="339"/>
      <c r="AB102" s="339"/>
      <c r="AC102" s="339"/>
      <c r="AD102" s="339"/>
      <c r="AE102" s="339"/>
      <c r="AF102" s="339"/>
      <c r="AG102" s="339"/>
      <c r="AH102" s="339"/>
      <c r="AI102" s="339"/>
    </row>
    <row r="103" spans="1:35">
      <c r="A103" s="339"/>
      <c r="B103" s="339"/>
      <c r="C103" s="339"/>
      <c r="D103" s="339"/>
      <c r="E103" s="339"/>
      <c r="F103" s="339"/>
      <c r="G103" s="339"/>
      <c r="H103" s="339"/>
      <c r="I103" s="339"/>
      <c r="J103" s="339"/>
      <c r="K103" s="339"/>
      <c r="L103" s="339"/>
      <c r="M103" s="339"/>
      <c r="N103" s="339"/>
      <c r="O103" s="339"/>
      <c r="P103" s="339"/>
      <c r="Q103" s="339"/>
      <c r="R103" s="339"/>
      <c r="S103" s="339"/>
      <c r="T103" s="339"/>
      <c r="U103" s="339"/>
      <c r="V103" s="339"/>
      <c r="W103" s="339"/>
      <c r="X103" s="339"/>
      <c r="Y103" s="339"/>
      <c r="Z103" s="339"/>
      <c r="AA103" s="339"/>
      <c r="AB103" s="339"/>
      <c r="AC103" s="339"/>
      <c r="AD103" s="339"/>
      <c r="AE103" s="339"/>
      <c r="AF103" s="339"/>
      <c r="AG103" s="339"/>
      <c r="AH103" s="339"/>
      <c r="AI103" s="339"/>
    </row>
    <row r="104" spans="1:35">
      <c r="A104" s="339"/>
      <c r="B104" s="339"/>
      <c r="C104" s="339"/>
      <c r="D104" s="339"/>
      <c r="E104" s="339"/>
      <c r="F104" s="339"/>
      <c r="G104" s="339"/>
      <c r="H104" s="339"/>
      <c r="I104" s="339"/>
      <c r="J104" s="339"/>
      <c r="K104" s="339"/>
      <c r="L104" s="339"/>
      <c r="M104" s="339"/>
      <c r="N104" s="339"/>
      <c r="O104" s="339"/>
      <c r="P104" s="339"/>
      <c r="Q104" s="339"/>
      <c r="R104" s="339"/>
      <c r="S104" s="339"/>
      <c r="T104" s="339"/>
      <c r="U104" s="339"/>
      <c r="V104" s="339"/>
      <c r="W104" s="339"/>
      <c r="X104" s="339"/>
      <c r="Y104" s="339"/>
      <c r="Z104" s="339"/>
      <c r="AA104" s="339"/>
      <c r="AB104" s="339"/>
      <c r="AC104" s="339"/>
      <c r="AD104" s="339"/>
      <c r="AE104" s="339"/>
      <c r="AF104" s="339"/>
      <c r="AG104" s="339"/>
      <c r="AH104" s="339"/>
      <c r="AI104" s="339"/>
    </row>
    <row r="105" spans="1:35">
      <c r="A105" s="339"/>
      <c r="B105" s="339"/>
      <c r="C105" s="339"/>
      <c r="D105" s="339"/>
      <c r="E105" s="339"/>
      <c r="F105" s="339"/>
      <c r="G105" s="339"/>
      <c r="H105" s="339"/>
      <c r="I105" s="339"/>
      <c r="J105" s="339"/>
      <c r="K105" s="339"/>
      <c r="L105" s="339"/>
      <c r="M105" s="339"/>
      <c r="N105" s="339"/>
      <c r="O105" s="339"/>
      <c r="P105" s="339"/>
      <c r="Q105" s="339"/>
      <c r="R105" s="339"/>
      <c r="S105" s="339"/>
      <c r="T105" s="339"/>
      <c r="U105" s="339"/>
      <c r="V105" s="339"/>
      <c r="W105" s="339"/>
      <c r="X105" s="339"/>
      <c r="Y105" s="339"/>
      <c r="Z105" s="339"/>
      <c r="AA105" s="339"/>
      <c r="AB105" s="339"/>
      <c r="AC105" s="339"/>
      <c r="AD105" s="339"/>
      <c r="AE105" s="339"/>
      <c r="AF105" s="339"/>
      <c r="AG105" s="339"/>
      <c r="AH105" s="339"/>
      <c r="AI105" s="339"/>
    </row>
    <row r="106" spans="1:35">
      <c r="A106" s="339"/>
      <c r="B106" s="339"/>
      <c r="C106" s="339"/>
      <c r="D106" s="339"/>
      <c r="E106" s="339"/>
      <c r="F106" s="339"/>
      <c r="G106" s="339"/>
      <c r="H106" s="339"/>
      <c r="I106" s="339"/>
      <c r="J106" s="339"/>
      <c r="K106" s="339"/>
      <c r="L106" s="339"/>
      <c r="M106" s="339"/>
      <c r="N106" s="339"/>
      <c r="O106" s="339"/>
      <c r="P106" s="339"/>
      <c r="Q106" s="339"/>
      <c r="R106" s="339"/>
      <c r="S106" s="339"/>
      <c r="T106" s="339"/>
      <c r="U106" s="339"/>
      <c r="V106" s="339"/>
      <c r="W106" s="339"/>
      <c r="X106" s="339"/>
      <c r="Y106" s="339"/>
      <c r="Z106" s="339"/>
      <c r="AA106" s="339"/>
      <c r="AB106" s="339"/>
      <c r="AC106" s="339"/>
      <c r="AD106" s="339"/>
      <c r="AE106" s="339"/>
      <c r="AF106" s="339"/>
      <c r="AG106" s="339"/>
      <c r="AH106" s="339"/>
      <c r="AI106" s="339"/>
    </row>
    <row r="107" spans="1:35">
      <c r="A107" s="339"/>
      <c r="B107" s="339"/>
      <c r="C107" s="339"/>
      <c r="D107" s="339"/>
      <c r="E107" s="339"/>
      <c r="F107" s="339"/>
      <c r="G107" s="339"/>
      <c r="H107" s="339"/>
      <c r="I107" s="339"/>
      <c r="J107" s="339"/>
      <c r="K107" s="339"/>
      <c r="L107" s="339"/>
      <c r="M107" s="339"/>
      <c r="N107" s="339"/>
      <c r="O107" s="339"/>
      <c r="P107" s="339"/>
      <c r="Q107" s="339"/>
      <c r="R107" s="339"/>
      <c r="S107" s="339"/>
      <c r="T107" s="339"/>
      <c r="U107" s="339"/>
      <c r="V107" s="339"/>
      <c r="W107" s="339"/>
      <c r="X107" s="339"/>
      <c r="Y107" s="339"/>
      <c r="Z107" s="339"/>
      <c r="AA107" s="339"/>
      <c r="AB107" s="339"/>
      <c r="AC107" s="339"/>
      <c r="AD107" s="339"/>
      <c r="AE107" s="339"/>
      <c r="AF107" s="339"/>
      <c r="AG107" s="339"/>
      <c r="AH107" s="339"/>
      <c r="AI107" s="339"/>
    </row>
    <row r="108" spans="1:35">
      <c r="A108" s="339"/>
      <c r="B108" s="339"/>
      <c r="C108" s="339"/>
      <c r="D108" s="339"/>
      <c r="E108" s="339"/>
      <c r="F108" s="339"/>
      <c r="G108" s="339"/>
      <c r="H108" s="339"/>
      <c r="I108" s="339"/>
      <c r="J108" s="339"/>
      <c r="K108" s="339"/>
      <c r="L108" s="339"/>
      <c r="M108" s="339"/>
      <c r="N108" s="339"/>
      <c r="O108" s="339"/>
      <c r="P108" s="339"/>
      <c r="Q108" s="339"/>
      <c r="R108" s="339"/>
      <c r="S108" s="339"/>
      <c r="T108" s="339"/>
      <c r="U108" s="339"/>
      <c r="V108" s="339"/>
      <c r="W108" s="339"/>
      <c r="X108" s="339"/>
      <c r="Y108" s="339"/>
      <c r="Z108" s="339"/>
      <c r="AA108" s="339"/>
      <c r="AB108" s="339"/>
      <c r="AC108" s="339"/>
      <c r="AD108" s="339"/>
      <c r="AE108" s="339"/>
      <c r="AF108" s="339"/>
      <c r="AG108" s="339"/>
      <c r="AH108" s="339"/>
      <c r="AI108" s="339"/>
    </row>
    <row r="109" spans="1:35">
      <c r="A109" s="339"/>
      <c r="B109" s="339"/>
      <c r="C109" s="339"/>
      <c r="D109" s="339"/>
      <c r="E109" s="339"/>
      <c r="F109" s="339"/>
      <c r="G109" s="339"/>
      <c r="H109" s="339"/>
      <c r="I109" s="339"/>
      <c r="J109" s="339"/>
      <c r="K109" s="339"/>
      <c r="L109" s="339"/>
      <c r="M109" s="339"/>
      <c r="N109" s="339"/>
      <c r="O109" s="339"/>
      <c r="P109" s="339"/>
      <c r="Q109" s="339"/>
      <c r="R109" s="339"/>
      <c r="S109" s="339"/>
      <c r="T109" s="339"/>
      <c r="U109" s="339"/>
      <c r="V109" s="339"/>
      <c r="W109" s="339"/>
      <c r="X109" s="339"/>
      <c r="Y109" s="339"/>
      <c r="Z109" s="339"/>
      <c r="AA109" s="339"/>
      <c r="AB109" s="339"/>
      <c r="AC109" s="339"/>
      <c r="AD109" s="339"/>
      <c r="AE109" s="339"/>
      <c r="AF109" s="339"/>
      <c r="AG109" s="339"/>
      <c r="AH109" s="339"/>
      <c r="AI109" s="339"/>
    </row>
    <row r="110" spans="1:35">
      <c r="A110" s="339"/>
      <c r="B110" s="339"/>
      <c r="C110" s="339"/>
      <c r="D110" s="339"/>
      <c r="E110" s="339"/>
      <c r="F110" s="339"/>
      <c r="G110" s="339"/>
      <c r="H110" s="339"/>
      <c r="I110" s="339"/>
      <c r="J110" s="339"/>
      <c r="K110" s="339"/>
      <c r="L110" s="339"/>
      <c r="M110" s="339"/>
      <c r="N110" s="339"/>
      <c r="O110" s="339"/>
      <c r="P110" s="339"/>
      <c r="Q110" s="339"/>
      <c r="R110" s="339"/>
      <c r="S110" s="339"/>
      <c r="T110" s="339"/>
      <c r="U110" s="339"/>
      <c r="V110" s="339"/>
      <c r="W110" s="339"/>
      <c r="X110" s="339"/>
      <c r="Y110" s="339"/>
      <c r="Z110" s="339"/>
      <c r="AA110" s="339"/>
      <c r="AB110" s="339"/>
      <c r="AC110" s="339"/>
      <c r="AD110" s="339"/>
      <c r="AE110" s="339"/>
      <c r="AF110" s="339"/>
      <c r="AG110" s="339"/>
      <c r="AH110" s="339"/>
      <c r="AI110" s="339"/>
    </row>
    <row r="111" spans="1:35">
      <c r="A111" s="339"/>
      <c r="B111" s="339"/>
      <c r="C111" s="339"/>
      <c r="D111" s="339"/>
      <c r="E111" s="339"/>
      <c r="F111" s="339"/>
      <c r="G111" s="339"/>
      <c r="H111" s="339"/>
      <c r="I111" s="339"/>
      <c r="J111" s="339"/>
      <c r="K111" s="339"/>
      <c r="L111" s="339"/>
      <c r="M111" s="339"/>
      <c r="N111" s="339"/>
      <c r="O111" s="339"/>
      <c r="P111" s="339"/>
      <c r="Q111" s="339"/>
      <c r="R111" s="339"/>
      <c r="S111" s="339"/>
      <c r="T111" s="339"/>
      <c r="U111" s="339"/>
      <c r="V111" s="339"/>
      <c r="W111" s="339"/>
      <c r="X111" s="339"/>
      <c r="Y111" s="339"/>
      <c r="Z111" s="339"/>
      <c r="AA111" s="339"/>
      <c r="AB111" s="339"/>
      <c r="AC111" s="339"/>
      <c r="AD111" s="339"/>
      <c r="AE111" s="339"/>
      <c r="AF111" s="339"/>
      <c r="AG111" s="339"/>
      <c r="AH111" s="339"/>
      <c r="AI111" s="339"/>
    </row>
    <row r="112" spans="1:35">
      <c r="A112" s="339"/>
      <c r="B112" s="339"/>
      <c r="C112" s="339"/>
      <c r="D112" s="339"/>
      <c r="E112" s="339"/>
      <c r="F112" s="339"/>
      <c r="G112" s="339"/>
      <c r="H112" s="339"/>
      <c r="I112" s="339"/>
      <c r="J112" s="339"/>
      <c r="K112" s="339"/>
      <c r="L112" s="339"/>
      <c r="M112" s="339"/>
      <c r="N112" s="339"/>
      <c r="O112" s="339"/>
      <c r="P112" s="339"/>
      <c r="Q112" s="339"/>
      <c r="R112" s="339"/>
      <c r="S112" s="339"/>
      <c r="T112" s="339"/>
      <c r="U112" s="339"/>
      <c r="V112" s="339"/>
      <c r="W112" s="339"/>
      <c r="X112" s="339"/>
      <c r="Y112" s="339"/>
      <c r="Z112" s="339"/>
      <c r="AA112" s="339"/>
      <c r="AB112" s="339"/>
      <c r="AC112" s="339"/>
      <c r="AD112" s="339"/>
      <c r="AE112" s="339"/>
      <c r="AF112" s="339"/>
      <c r="AG112" s="339"/>
      <c r="AH112" s="339"/>
      <c r="AI112" s="339"/>
    </row>
    <row r="113" spans="20:35">
      <c r="T113" s="339"/>
      <c r="U113" s="339"/>
      <c r="V113" s="339"/>
      <c r="W113" s="339"/>
      <c r="X113" s="339"/>
      <c r="Y113" s="339"/>
      <c r="Z113" s="339"/>
      <c r="AA113" s="339"/>
      <c r="AB113" s="339"/>
      <c r="AC113" s="339"/>
      <c r="AD113" s="339"/>
      <c r="AE113" s="339"/>
      <c r="AF113" s="339"/>
      <c r="AG113" s="339"/>
      <c r="AH113" s="339"/>
      <c r="AI113" s="339"/>
    </row>
    <row r="114" spans="20:35">
      <c r="T114" s="339"/>
      <c r="U114" s="339"/>
      <c r="V114" s="339"/>
      <c r="W114" s="339"/>
      <c r="X114" s="339"/>
      <c r="Y114" s="339"/>
      <c r="Z114" s="339"/>
      <c r="AA114" s="339"/>
      <c r="AB114" s="339"/>
      <c r="AC114" s="339"/>
      <c r="AD114" s="339"/>
      <c r="AE114" s="339"/>
      <c r="AF114" s="339"/>
      <c r="AG114" s="339"/>
      <c r="AH114" s="339"/>
      <c r="AI114" s="339"/>
    </row>
    <row r="115" spans="20:35">
      <c r="T115" s="339"/>
      <c r="U115" s="339"/>
      <c r="V115" s="339"/>
      <c r="W115" s="339"/>
      <c r="X115" s="339"/>
      <c r="Y115" s="339"/>
      <c r="Z115" s="339"/>
      <c r="AA115" s="339"/>
      <c r="AB115" s="339"/>
      <c r="AC115" s="339"/>
      <c r="AD115" s="339"/>
      <c r="AE115" s="339"/>
      <c r="AF115" s="339"/>
      <c r="AG115" s="339"/>
      <c r="AH115" s="339"/>
      <c r="AI115" s="339"/>
    </row>
    <row r="116" spans="20:35">
      <c r="T116" s="339"/>
      <c r="U116" s="339"/>
      <c r="V116" s="339"/>
      <c r="W116" s="339"/>
      <c r="X116" s="339"/>
      <c r="Y116" s="339"/>
      <c r="Z116" s="339"/>
      <c r="AA116" s="339"/>
      <c r="AB116" s="339"/>
      <c r="AC116" s="339"/>
      <c r="AD116" s="339"/>
      <c r="AE116" s="339"/>
      <c r="AF116" s="339"/>
      <c r="AG116" s="339"/>
      <c r="AH116" s="339"/>
      <c r="AI116" s="339"/>
    </row>
    <row r="117" spans="20:35">
      <c r="T117" s="339"/>
      <c r="U117" s="339"/>
      <c r="V117" s="339"/>
      <c r="W117" s="339"/>
      <c r="X117" s="339"/>
      <c r="Y117" s="339"/>
      <c r="Z117" s="339"/>
      <c r="AA117" s="339"/>
      <c r="AB117" s="339"/>
      <c r="AC117" s="339"/>
      <c r="AD117" s="339"/>
      <c r="AE117" s="339"/>
      <c r="AF117" s="339"/>
      <c r="AG117" s="339"/>
      <c r="AH117" s="339"/>
      <c r="AI117" s="339"/>
    </row>
    <row r="118" spans="20:35">
      <c r="T118" s="339"/>
      <c r="U118" s="339"/>
      <c r="V118" s="339"/>
      <c r="W118" s="339"/>
      <c r="X118" s="339"/>
      <c r="Y118" s="339"/>
      <c r="Z118" s="339"/>
      <c r="AA118" s="339"/>
      <c r="AB118" s="339"/>
      <c r="AC118" s="339"/>
      <c r="AD118" s="339"/>
      <c r="AE118" s="339"/>
      <c r="AF118" s="339"/>
      <c r="AG118" s="339"/>
      <c r="AH118" s="339"/>
      <c r="AI118" s="339"/>
    </row>
    <row r="119" spans="20:35">
      <c r="T119" s="339"/>
      <c r="U119" s="339"/>
      <c r="V119" s="339"/>
      <c r="W119" s="339"/>
      <c r="X119" s="339"/>
      <c r="Y119" s="339"/>
      <c r="Z119" s="339"/>
      <c r="AA119" s="339"/>
      <c r="AB119" s="339"/>
      <c r="AC119" s="339"/>
      <c r="AD119" s="339"/>
      <c r="AE119" s="339"/>
      <c r="AF119" s="339"/>
      <c r="AG119" s="339"/>
      <c r="AH119" s="339"/>
      <c r="AI119" s="339"/>
    </row>
    <row r="120" spans="20:35">
      <c r="T120" s="339"/>
      <c r="U120" s="339"/>
      <c r="V120" s="339"/>
      <c r="W120" s="339"/>
      <c r="X120" s="339"/>
      <c r="Y120" s="339"/>
      <c r="Z120" s="339"/>
      <c r="AA120" s="339"/>
      <c r="AB120" s="339"/>
      <c r="AC120" s="339"/>
      <c r="AD120" s="339"/>
      <c r="AE120" s="339"/>
      <c r="AF120" s="339"/>
      <c r="AG120" s="339"/>
      <c r="AH120" s="339"/>
      <c r="AI120" s="339"/>
    </row>
    <row r="121" spans="20:35">
      <c r="T121" s="339"/>
      <c r="U121" s="339"/>
      <c r="V121" s="339"/>
      <c r="W121" s="339"/>
      <c r="X121" s="339"/>
      <c r="Y121" s="339"/>
      <c r="Z121" s="339"/>
      <c r="AA121" s="339"/>
      <c r="AB121" s="339"/>
      <c r="AC121" s="339"/>
      <c r="AD121" s="339"/>
      <c r="AE121" s="339"/>
      <c r="AF121" s="339"/>
      <c r="AG121" s="339"/>
      <c r="AH121" s="339"/>
      <c r="AI121" s="339"/>
    </row>
    <row r="122" spans="20:35">
      <c r="T122" s="339"/>
      <c r="U122" s="339"/>
      <c r="V122" s="339"/>
      <c r="W122" s="339"/>
      <c r="X122" s="339"/>
      <c r="Y122" s="339"/>
      <c r="Z122" s="339"/>
      <c r="AA122" s="339"/>
      <c r="AB122" s="339"/>
      <c r="AC122" s="339"/>
      <c r="AD122" s="339"/>
      <c r="AE122" s="339"/>
      <c r="AF122" s="339"/>
      <c r="AG122" s="339"/>
      <c r="AH122" s="339"/>
      <c r="AI122" s="339"/>
    </row>
    <row r="123" spans="20:35">
      <c r="T123" s="339"/>
      <c r="U123" s="339"/>
      <c r="V123" s="339"/>
      <c r="W123" s="339"/>
      <c r="X123" s="339"/>
      <c r="Y123" s="339"/>
      <c r="Z123" s="339"/>
      <c r="AA123" s="339"/>
      <c r="AB123" s="339"/>
      <c r="AC123" s="339"/>
      <c r="AD123" s="339"/>
      <c r="AE123" s="339"/>
      <c r="AF123" s="339"/>
      <c r="AG123" s="339"/>
      <c r="AH123" s="339"/>
      <c r="AI123" s="339"/>
    </row>
  </sheetData>
  <sheetProtection algorithmName="SHA-512" hashValue="p/ZGEF+tDyslC7uM30WOzSlK996/lcq++Oq6Q/nzDBhwjoJKsk0vnhEVrQxD5b2Py2qcqhdAlfLyQL2CdTE88A==" saltValue="kp29GMP2cbSPIyEYzrP/OQ==" spinCount="100000" sheet="1" scenarios="1" insertHyperlinks="0"/>
  <protectedRanges>
    <protectedRange sqref="H8 A29:S112 I13:K13 E13:G20 I16:K16 T1:AI123 S1:S28 I19:K20" name="Range1"/>
    <protectedRange sqref="I14:K15 I17:K18" name="Range1_2"/>
  </protectedRanges>
  <dataConsolidate/>
  <mergeCells count="46">
    <mergeCell ref="N10:O12"/>
    <mergeCell ref="P10:R12"/>
    <mergeCell ref="A5:S6"/>
    <mergeCell ref="B10:H12"/>
    <mergeCell ref="L14:M14"/>
    <mergeCell ref="L15:M15"/>
    <mergeCell ref="L16:M16"/>
    <mergeCell ref="L18:M18"/>
    <mergeCell ref="H9:I9"/>
    <mergeCell ref="I10:K11"/>
    <mergeCell ref="L10:M12"/>
    <mergeCell ref="L13:M13"/>
    <mergeCell ref="I13:K13"/>
    <mergeCell ref="I14:K14"/>
    <mergeCell ref="I15:K15"/>
    <mergeCell ref="I16:K16"/>
    <mergeCell ref="I18:K18"/>
    <mergeCell ref="P20:R20"/>
    <mergeCell ref="N13:O13"/>
    <mergeCell ref="N14:O14"/>
    <mergeCell ref="N15:O15"/>
    <mergeCell ref="N16:O16"/>
    <mergeCell ref="N17:O17"/>
    <mergeCell ref="N18:O18"/>
    <mergeCell ref="N19:O19"/>
    <mergeCell ref="N20:O20"/>
    <mergeCell ref="P17:R17"/>
    <mergeCell ref="P18:R18"/>
    <mergeCell ref="P19:R19"/>
    <mergeCell ref="P13:R13"/>
    <mergeCell ref="P14:R14"/>
    <mergeCell ref="P15:R15"/>
    <mergeCell ref="P16:R16"/>
    <mergeCell ref="D3:J3"/>
    <mergeCell ref="O3:R3"/>
    <mergeCell ref="H7:I7"/>
    <mergeCell ref="H8:I8"/>
    <mergeCell ref="A1:S1"/>
    <mergeCell ref="B8:G8"/>
    <mergeCell ref="B22:D23"/>
    <mergeCell ref="L17:M17"/>
    <mergeCell ref="I17:K17"/>
    <mergeCell ref="L19:M19"/>
    <mergeCell ref="L20:M20"/>
    <mergeCell ref="I22:K23"/>
    <mergeCell ref="F22:H23"/>
  </mergeCells>
  <conditionalFormatting sqref="H8:I8">
    <cfRule type="expression" dxfId="77" priority="112" stopIfTrue="1">
      <formula>H7="other"</formula>
    </cfRule>
    <cfRule type="expression" dxfId="76" priority="113" stopIfTrue="1">
      <formula>AND(H7="aluminium",H8&lt;3.2)</formula>
    </cfRule>
    <cfRule type="expression" dxfId="75" priority="114" stopIfTrue="1">
      <formula>AND(H7="aluminium",H8&gt;=3.2)</formula>
    </cfRule>
    <cfRule type="expression" dxfId="74" priority="115" stopIfTrue="1">
      <formula>AND(H7="steel",H8&lt;1.25)</formula>
    </cfRule>
    <cfRule type="expression" dxfId="73" priority="116" stopIfTrue="1">
      <formula>AND(H7="steel",H8&gt;=1.25)</formula>
    </cfRule>
  </conditionalFormatting>
  <conditionalFormatting sqref="I13:I15">
    <cfRule type="cellIs" dxfId="72" priority="18" operator="equal">
      <formula>" "</formula>
    </cfRule>
  </conditionalFormatting>
  <conditionalFormatting sqref="I16">
    <cfRule type="cellIs" dxfId="71" priority="54" stopIfTrue="1" operator="equal">
      <formula>"Yes"</formula>
    </cfRule>
    <cfRule type="cellIs" dxfId="70" priority="55" stopIfTrue="1" operator="equal">
      <formula>"n.a."</formula>
    </cfRule>
    <cfRule type="cellIs" dxfId="69" priority="56" stopIfTrue="1" operator="equal">
      <formula>"No"</formula>
    </cfRule>
    <cfRule type="cellIs" dxfId="68" priority="64" operator="equal">
      <formula>" "</formula>
    </cfRule>
  </conditionalFormatting>
  <conditionalFormatting sqref="I17:I18">
    <cfRule type="cellIs" dxfId="67" priority="9" operator="equal">
      <formula>" "</formula>
    </cfRule>
  </conditionalFormatting>
  <conditionalFormatting sqref="I22">
    <cfRule type="expression" dxfId="66" priority="52" stopIfTrue="1">
      <formula>I22&lt;&gt;"Compliance shown"</formula>
    </cfRule>
    <cfRule type="expression" dxfId="65" priority="53" stopIfTrue="1">
      <formula>I22="Compliance shown"</formula>
    </cfRule>
  </conditionalFormatting>
  <conditionalFormatting sqref="I13:K15">
    <cfRule type="cellIs" dxfId="64" priority="11" stopIfTrue="1" operator="equal">
      <formula>"Yes"</formula>
    </cfRule>
    <cfRule type="cellIs" dxfId="63" priority="12" stopIfTrue="1" operator="equal">
      <formula>"n.a."</formula>
    </cfRule>
    <cfRule type="cellIs" dxfId="62" priority="13" stopIfTrue="1" operator="equal">
      <formula>"No"</formula>
    </cfRule>
  </conditionalFormatting>
  <conditionalFormatting sqref="I14:K15">
    <cfRule type="expression" dxfId="61" priority="10">
      <formula>I14="N/A"</formula>
    </cfRule>
  </conditionalFormatting>
  <conditionalFormatting sqref="I17:K18">
    <cfRule type="expression" dxfId="60" priority="1">
      <formula>I17="N/A"</formula>
    </cfRule>
  </conditionalFormatting>
  <conditionalFormatting sqref="I17:K20">
    <cfRule type="cellIs" dxfId="59" priority="2" stopIfTrue="1" operator="equal">
      <formula>"Yes"</formula>
    </cfRule>
    <cfRule type="cellIs" dxfId="58" priority="3" stopIfTrue="1" operator="equal">
      <formula>"n.a."</formula>
    </cfRule>
    <cfRule type="cellIs" dxfId="57" priority="4" stopIfTrue="1" operator="equal">
      <formula>"No"</formula>
    </cfRule>
  </conditionalFormatting>
  <conditionalFormatting sqref="I19:K20">
    <cfRule type="cellIs" dxfId="56" priority="22" operator="equal">
      <formula>" "</formula>
    </cfRule>
  </conditionalFormatting>
  <dataValidations count="4">
    <dataValidation type="list" allowBlank="1" showInputMessage="1" showErrorMessage="1" sqref="H8:I8" xr:uid="{00000000-0002-0000-1E00-000001000000}">
      <formula1>"Pouch, Cylinder, Other"</formula1>
    </dataValidation>
    <dataValidation type="list" allowBlank="1" showInputMessage="1" showErrorMessage="1" sqref="I16 I13:K13 I19:K20" xr:uid="{00000000-0002-0000-1E00-000002000000}">
      <formula1>"No, Yes"</formula1>
    </dataValidation>
    <dataValidation type="list" allowBlank="1" showInputMessage="1" showErrorMessage="1" sqref="N22:N23" xr:uid="{00000000-0002-0000-1E00-000000000000}">
      <formula1>"Steel, Aluminium, Other"</formula1>
    </dataValidation>
    <dataValidation type="list" allowBlank="1" showInputMessage="1" showErrorMessage="1" sqref="I14:K15 I17:K18" xr:uid="{B78271A8-30C8-4D46-A980-6D86C62D6C4F}">
      <formula1>"No, Yes,N/A"</formula1>
    </dataValidation>
  </dataValidations>
  <hyperlinks>
    <hyperlink ref="L8" location="'Cover Sheet'!A1" display="BACK to COVER SHEET" xr:uid="{00000000-0004-0000-1E00-000000000000}"/>
    <hyperlink ref="B13" location="'EV5.5.3 Guidance Notes'!A1" display="EV5.5.3" xr:uid="{CBBF6227-518F-4E4C-BA02-78B70ADA103D}"/>
    <hyperlink ref="B14" location="'EV5.5.9 Guidance Notes'!A1" display="EV5.5.9" xr:uid="{10C57C04-5CA9-4D9E-A6D0-BDA754936407}"/>
    <hyperlink ref="B15" location="'EV5.5.10 Guidance Notes'!A1" display="EV5.5.10" xr:uid="{52E5C7D9-A6A8-4448-8998-BD3857FB9B4A}"/>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workbookViewId="0"/>
  </sheetViews>
  <sheetFormatPr baseColWidth="10" defaultColWidth="11.46484375" defaultRowHeight="12.75"/>
  <cols>
    <col min="1" max="1" width="4.33203125" customWidth="1"/>
    <col min="2" max="2" width="36" customWidth="1"/>
    <col min="3" max="22" width="7.6640625" customWidth="1"/>
  </cols>
  <sheetData>
    <row r="1" spans="2:22" ht="15">
      <c r="B1" s="1508" t="s">
        <v>653</v>
      </c>
      <c r="C1" s="1508"/>
    </row>
    <row r="2" spans="2:22" ht="12.75" customHeight="1">
      <c r="C2" s="43"/>
      <c r="D2" s="43"/>
    </row>
    <row r="3" spans="2:22" ht="12.75" customHeight="1">
      <c r="B3" s="361" t="s">
        <v>654</v>
      </c>
      <c r="C3" s="571"/>
      <c r="D3" s="571"/>
      <c r="E3" s="571"/>
      <c r="F3" s="571"/>
      <c r="G3" s="571"/>
      <c r="H3" s="571"/>
      <c r="I3" s="571"/>
      <c r="J3" s="571"/>
      <c r="K3" s="571"/>
      <c r="M3" s="419"/>
      <c r="N3" s="419"/>
    </row>
    <row r="4" spans="2:22" ht="12.75" customHeight="1">
      <c r="B4" s="420" t="s">
        <v>655</v>
      </c>
      <c r="I4" s="421"/>
      <c r="M4" s="419"/>
      <c r="N4" s="419"/>
    </row>
    <row r="5" spans="2:22" ht="12.75" customHeight="1">
      <c r="B5" s="420" t="s">
        <v>656</v>
      </c>
      <c r="C5" s="514"/>
      <c r="I5" s="421"/>
      <c r="M5" s="419"/>
      <c r="N5" s="419"/>
    </row>
    <row r="6" spans="2:22" ht="12.75" customHeight="1">
      <c r="B6" s="420" t="s">
        <v>657</v>
      </c>
      <c r="C6" s="514"/>
      <c r="I6" s="421"/>
      <c r="M6" s="419"/>
      <c r="N6" s="419"/>
    </row>
    <row r="7" spans="2:22" ht="12.75" customHeight="1">
      <c r="B7" s="420"/>
      <c r="C7" s="514"/>
      <c r="I7" s="421"/>
      <c r="M7" s="419"/>
      <c r="N7" s="419"/>
    </row>
    <row r="8" spans="2:22" ht="12.75" customHeight="1">
      <c r="B8" s="415" t="s">
        <v>658</v>
      </c>
      <c r="C8" s="514"/>
      <c r="I8" s="421"/>
      <c r="M8" s="419"/>
      <c r="N8" s="419"/>
      <c r="S8" s="162" t="s">
        <v>219</v>
      </c>
    </row>
    <row r="9" spans="2:22" ht="12.75" customHeight="1">
      <c r="B9" s="3"/>
      <c r="I9" s="421"/>
      <c r="M9" s="419"/>
      <c r="N9" s="422"/>
    </row>
    <row r="10" spans="2:22" s="104" customFormat="1" ht="13.15">
      <c r="B10" s="1506" t="s">
        <v>659</v>
      </c>
      <c r="C10" s="1288" t="str">
        <f>IF(AND(D12="PASS",D17="PASS",D21="PASS",D22="pass"),"PASS","FAIL")</f>
        <v>FAIL</v>
      </c>
      <c r="D10" s="1289"/>
      <c r="E10" s="20"/>
      <c r="F10" s="20"/>
      <c r="G10" s="20"/>
      <c r="H10" s="20"/>
      <c r="I10" s="20"/>
      <c r="J10" s="20"/>
      <c r="K10" s="20"/>
      <c r="L10" s="20"/>
      <c r="M10" s="20"/>
      <c r="N10" s="20"/>
      <c r="O10" s="20"/>
      <c r="P10" s="20"/>
      <c r="Q10" s="20"/>
      <c r="R10" s="20"/>
      <c r="S10" s="20"/>
      <c r="T10" s="20"/>
      <c r="U10" s="20"/>
      <c r="V10" s="21"/>
    </row>
    <row r="11" spans="2:22" s="104" customFormat="1">
      <c r="B11" s="1507"/>
      <c r="C11" s="56"/>
      <c r="D11" s="55"/>
      <c r="E11" s="26"/>
      <c r="F11" s="26"/>
      <c r="G11" s="26"/>
      <c r="H11" s="26"/>
      <c r="I11" s="26"/>
      <c r="J11" s="26"/>
      <c r="K11" s="26"/>
      <c r="L11" s="26"/>
      <c r="M11" s="26"/>
      <c r="N11" s="26"/>
      <c r="O11" s="26"/>
      <c r="P11" s="26"/>
      <c r="Q11" s="26"/>
      <c r="R11" s="26"/>
      <c r="S11" s="26"/>
      <c r="T11" s="26"/>
      <c r="U11" s="26"/>
      <c r="V11" s="27"/>
    </row>
    <row r="12" spans="2:22" s="104" customFormat="1">
      <c r="B12" s="58" t="s">
        <v>470</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390" t="s">
        <v>550</v>
      </c>
      <c r="C13" s="99"/>
      <c r="D13" s="61"/>
      <c r="E13" s="26"/>
      <c r="F13" s="26"/>
      <c r="G13" s="26"/>
      <c r="H13" s="26"/>
      <c r="I13" s="26"/>
      <c r="J13" s="26"/>
      <c r="K13" s="26"/>
      <c r="L13" s="26"/>
      <c r="M13" s="26"/>
      <c r="N13" s="26"/>
      <c r="O13" s="26"/>
      <c r="P13" s="26"/>
      <c r="Q13" s="26"/>
      <c r="R13" s="26"/>
      <c r="S13" s="26"/>
      <c r="T13" s="26"/>
      <c r="U13" s="26"/>
      <c r="V13" s="27"/>
    </row>
    <row r="14" spans="2:22" s="104" customFormat="1">
      <c r="B14" s="390" t="s">
        <v>485</v>
      </c>
      <c r="C14" s="969"/>
      <c r="D14" s="61"/>
      <c r="E14" s="26"/>
      <c r="F14" s="26"/>
      <c r="G14" s="26"/>
      <c r="H14" s="26"/>
      <c r="I14" s="26"/>
      <c r="J14" s="26"/>
      <c r="K14" s="26"/>
      <c r="L14" s="26"/>
      <c r="M14" s="26"/>
      <c r="N14" s="26"/>
      <c r="O14" s="26"/>
      <c r="P14" s="26"/>
      <c r="Q14" s="26"/>
      <c r="R14" s="26"/>
      <c r="S14" s="26"/>
      <c r="T14" s="26"/>
      <c r="U14" s="26"/>
      <c r="V14" s="27"/>
    </row>
    <row r="15" spans="2:22" s="104" customFormat="1">
      <c r="B15" s="390" t="s">
        <v>476</v>
      </c>
      <c r="C15" s="99"/>
      <c r="D15" s="61"/>
      <c r="E15" s="26"/>
      <c r="F15" s="26"/>
      <c r="G15" s="26"/>
      <c r="H15" s="26"/>
      <c r="I15" s="26"/>
      <c r="J15" s="26"/>
      <c r="K15" s="26"/>
      <c r="L15" s="26"/>
      <c r="M15" s="26"/>
      <c r="N15" s="26"/>
      <c r="O15" s="26"/>
      <c r="P15" s="26"/>
      <c r="Q15" s="26"/>
      <c r="R15" s="26"/>
      <c r="S15" s="26"/>
      <c r="T15" s="26"/>
      <c r="U15" s="26"/>
      <c r="V15" s="27"/>
    </row>
    <row r="16" spans="2:22" s="104" customFormat="1">
      <c r="B16" s="390" t="s">
        <v>485</v>
      </c>
      <c r="C16" s="969"/>
      <c r="D16" s="61"/>
      <c r="E16" s="26"/>
      <c r="F16" s="26"/>
      <c r="G16" s="26"/>
      <c r="H16" s="26"/>
      <c r="I16" s="26"/>
      <c r="J16" s="26"/>
      <c r="K16" s="26"/>
      <c r="L16" s="26"/>
      <c r="M16" s="26"/>
      <c r="N16" s="26"/>
      <c r="O16" s="26"/>
      <c r="P16" s="26"/>
      <c r="Q16" s="26"/>
      <c r="R16" s="26"/>
      <c r="S16" s="26"/>
      <c r="T16" s="26"/>
      <c r="U16" s="26"/>
      <c r="V16" s="27"/>
    </row>
    <row r="17" spans="2:22" s="104" customFormat="1">
      <c r="B17" s="39" t="s">
        <v>477</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478</v>
      </c>
      <c r="C18" s="75"/>
      <c r="D18" s="16"/>
      <c r="E18" s="26"/>
      <c r="F18" s="26"/>
      <c r="G18" s="26"/>
      <c r="H18" s="26"/>
      <c r="I18" s="26"/>
      <c r="J18" s="26"/>
      <c r="K18" s="26"/>
      <c r="L18" s="26"/>
      <c r="M18" s="26"/>
      <c r="N18" s="26"/>
      <c r="O18" s="26"/>
      <c r="P18" s="26"/>
      <c r="Q18" s="26"/>
      <c r="R18" s="26"/>
      <c r="S18" s="26"/>
      <c r="T18" s="26"/>
      <c r="U18" s="26"/>
      <c r="V18" s="27"/>
    </row>
    <row r="19" spans="2:22" s="104" customFormat="1">
      <c r="B19" s="390" t="s">
        <v>479</v>
      </c>
      <c r="C19" s="99"/>
      <c r="D19" s="61"/>
      <c r="E19" s="26"/>
      <c r="F19" s="26"/>
      <c r="G19" s="26"/>
      <c r="H19" s="26"/>
      <c r="I19" s="26"/>
      <c r="J19" s="26"/>
      <c r="K19" s="26"/>
      <c r="L19" s="26"/>
      <c r="M19" s="26"/>
      <c r="N19" s="26"/>
      <c r="O19" s="26"/>
      <c r="P19" s="26"/>
      <c r="Q19" s="26"/>
      <c r="R19" s="26"/>
      <c r="S19" s="26"/>
      <c r="T19" s="26"/>
      <c r="U19" s="26"/>
      <c r="V19" s="27"/>
    </row>
    <row r="20" spans="2:22" s="104" customFormat="1">
      <c r="B20" s="390" t="s">
        <v>483</v>
      </c>
      <c r="C20" s="317"/>
      <c r="D20" s="61"/>
      <c r="E20" s="26"/>
      <c r="F20" s="26"/>
      <c r="G20" s="26"/>
      <c r="H20" s="26"/>
      <c r="I20" s="26"/>
      <c r="J20" s="26"/>
      <c r="K20" s="26"/>
      <c r="L20" s="26"/>
      <c r="M20" s="26"/>
      <c r="N20" s="26"/>
      <c r="O20" s="26"/>
      <c r="P20" s="26"/>
      <c r="Q20" s="26"/>
      <c r="R20" s="26"/>
      <c r="S20" s="26"/>
      <c r="T20" s="26"/>
      <c r="U20" s="26"/>
      <c r="V20" s="27"/>
    </row>
    <row r="21" spans="2:22" s="104" customFormat="1">
      <c r="B21" s="39" t="s">
        <v>487</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488</v>
      </c>
      <c r="C22" s="205">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324" t="s">
        <v>660</v>
      </c>
      <c r="C23" s="1328"/>
      <c r="D23" s="1325"/>
      <c r="E23" s="26"/>
      <c r="F23" s="26"/>
      <c r="G23" s="26"/>
      <c r="H23" s="26"/>
      <c r="I23" s="26"/>
      <c r="J23" s="26"/>
      <c r="K23" s="26"/>
      <c r="L23" s="26"/>
      <c r="M23" s="26"/>
      <c r="N23" s="26"/>
      <c r="O23" s="26"/>
      <c r="P23" s="26"/>
      <c r="Q23" s="26"/>
      <c r="R23" s="26"/>
      <c r="S23" s="26"/>
      <c r="T23" s="26"/>
      <c r="U23" s="26"/>
      <c r="V23" s="27"/>
    </row>
    <row r="24" spans="2:22" s="104" customFormat="1">
      <c r="B24" s="1326"/>
      <c r="C24" s="1329"/>
      <c r="D24" s="1327"/>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69"/>
      <c r="C27" s="26"/>
      <c r="D27" s="26"/>
      <c r="E27" s="26"/>
      <c r="F27" s="26"/>
      <c r="G27" s="26"/>
      <c r="H27" s="26"/>
      <c r="I27" s="26"/>
      <c r="J27" s="26"/>
      <c r="K27" s="26"/>
      <c r="L27" s="26"/>
      <c r="M27" s="26"/>
      <c r="N27" s="26"/>
      <c r="O27" s="26"/>
      <c r="P27" s="26"/>
      <c r="Q27" s="26"/>
      <c r="R27" s="26"/>
      <c r="S27" s="26"/>
      <c r="T27" s="26"/>
      <c r="U27" s="26"/>
      <c r="V27" s="27"/>
    </row>
    <row r="28" spans="2:22" s="104" customFormat="1">
      <c r="B28" s="369"/>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fmEdaV4/2+dToEZGaLcwwFXAz72jT+t42abQWNSt5d+pFGFCBQSfVOePrsbFM7CeWgFF3+ahrnFLnMzyVfQB1A==" saltValue="QCLOX3iSJEx0AWTdrEiJYg==" spinCount="100000" sheet="1" scenarios="1" insertHyperlinks="0"/>
  <protectedRanges>
    <protectedRange sqref="C12:C20 E10:V24 B25:V140" name="Range1"/>
  </protectedRanges>
  <mergeCells count="4">
    <mergeCell ref="C10:D10"/>
    <mergeCell ref="B23:D24"/>
    <mergeCell ref="B10:B11"/>
    <mergeCell ref="B1:C1"/>
  </mergeCells>
  <phoneticPr fontId="0" type="noConversion"/>
  <conditionalFormatting sqref="C10:D10">
    <cfRule type="expression" dxfId="55" priority="5" stopIfTrue="1">
      <formula>C10="PASS"</formula>
    </cfRule>
    <cfRule type="expression" dxfId="54" priority="6" stopIfTrue="1">
      <formula>C10="FAIL"</formula>
    </cfRule>
    <cfRule type="expression" dxfId="53" priority="7" stopIfTrue="1">
      <formula>C10="N/A"</formula>
    </cfRule>
  </conditionalFormatting>
  <conditionalFormatting sqref="D12 D17">
    <cfRule type="expression" dxfId="52" priority="3" stopIfTrue="1">
      <formula>D12="PASS"</formula>
    </cfRule>
    <cfRule type="expression" dxfId="51" priority="4" stopIfTrue="1">
      <formula>D12="FAIL"</formula>
    </cfRule>
  </conditionalFormatting>
  <conditionalFormatting sqref="D21:D22">
    <cfRule type="expression" dxfId="50" priority="1" stopIfTrue="1">
      <formula>D21="PASS"</formula>
    </cfRule>
    <cfRule type="expression" dxfId="49" priority="2" stopIfTrue="1">
      <formula>D21="FAIL"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zoomScaleNormal="100" zoomScaleSheetLayoutView="100" workbookViewId="0">
      <selection sqref="A1:S1"/>
    </sheetView>
  </sheetViews>
  <sheetFormatPr baseColWidth="10" defaultColWidth="11.46484375" defaultRowHeight="12.75"/>
  <cols>
    <col min="1" max="95" width="5" customWidth="1"/>
  </cols>
  <sheetData>
    <row r="1" spans="1:95" ht="13.15">
      <c r="A1" s="1194" t="s">
        <v>661</v>
      </c>
      <c r="B1" s="1195"/>
      <c r="C1" s="1195"/>
      <c r="D1" s="1195"/>
      <c r="E1" s="1195"/>
      <c r="F1" s="1195"/>
      <c r="G1" s="1195"/>
      <c r="H1" s="1195"/>
      <c r="I1" s="1195"/>
      <c r="J1" s="1195"/>
      <c r="K1" s="1195"/>
      <c r="L1" s="1195"/>
      <c r="M1" s="1195"/>
      <c r="N1" s="1195"/>
      <c r="O1" s="1195"/>
      <c r="P1" s="1195"/>
      <c r="Q1" s="1195"/>
      <c r="R1" s="1195"/>
      <c r="S1" s="1196"/>
      <c r="T1" s="1194" t="s">
        <v>662</v>
      </c>
      <c r="U1" s="1195"/>
      <c r="V1" s="1195"/>
      <c r="W1" s="1195"/>
      <c r="X1" s="1195"/>
      <c r="Y1" s="1195"/>
      <c r="Z1" s="1195"/>
      <c r="AA1" s="1195"/>
      <c r="AB1" s="1195"/>
      <c r="AC1" s="1195"/>
      <c r="AD1" s="1195"/>
      <c r="AE1" s="1195"/>
      <c r="AF1" s="1195"/>
      <c r="AG1" s="1195"/>
      <c r="AH1" s="1195"/>
      <c r="AI1" s="1195"/>
      <c r="AJ1" s="1195"/>
      <c r="AK1" s="1195"/>
      <c r="AL1" s="1196"/>
      <c r="AM1" s="1194" t="s">
        <v>663</v>
      </c>
      <c r="AN1" s="1195"/>
      <c r="AO1" s="1195"/>
      <c r="AP1" s="1195"/>
      <c r="AQ1" s="1195"/>
      <c r="AR1" s="1195"/>
      <c r="AS1" s="1195"/>
      <c r="AT1" s="1195"/>
      <c r="AU1" s="1195"/>
      <c r="AV1" s="1195"/>
      <c r="AW1" s="1195"/>
      <c r="AX1" s="1195"/>
      <c r="AY1" s="1195"/>
      <c r="AZ1" s="1195"/>
      <c r="BA1" s="1195"/>
      <c r="BB1" s="1195"/>
      <c r="BC1" s="1195"/>
      <c r="BD1" s="1195"/>
      <c r="BE1" s="1196"/>
      <c r="BF1" s="1194" t="s">
        <v>664</v>
      </c>
      <c r="BG1" s="1195"/>
      <c r="BH1" s="1195"/>
      <c r="BI1" s="1195"/>
      <c r="BJ1" s="1195"/>
      <c r="BK1" s="1195"/>
      <c r="BL1" s="1195"/>
      <c r="BM1" s="1195"/>
      <c r="BN1" s="1195"/>
      <c r="BO1" s="1195"/>
      <c r="BP1" s="1195"/>
      <c r="BQ1" s="1195"/>
      <c r="BR1" s="1195"/>
      <c r="BS1" s="1195"/>
      <c r="BT1" s="1195"/>
      <c r="BU1" s="1195"/>
      <c r="BV1" s="1195"/>
      <c r="BW1" s="1195"/>
      <c r="BX1" s="1196"/>
      <c r="BY1" s="1194" t="s">
        <v>665</v>
      </c>
      <c r="BZ1" s="1195"/>
      <c r="CA1" s="1195"/>
      <c r="CB1" s="1195"/>
      <c r="CC1" s="1195"/>
      <c r="CD1" s="1195"/>
      <c r="CE1" s="1195"/>
      <c r="CF1" s="1195"/>
      <c r="CG1" s="1195"/>
      <c r="CH1" s="1195"/>
      <c r="CI1" s="1195"/>
      <c r="CJ1" s="1195"/>
      <c r="CK1" s="1195"/>
      <c r="CL1" s="1195"/>
      <c r="CM1" s="1195"/>
      <c r="CN1" s="1195"/>
      <c r="CO1" s="1195"/>
      <c r="CP1" s="1195"/>
      <c r="CQ1" s="1196"/>
    </row>
    <row r="2" spans="1:95">
      <c r="A2" s="4"/>
      <c r="S2" s="15"/>
      <c r="T2" s="4"/>
      <c r="AL2" s="15"/>
      <c r="AM2" s="4"/>
      <c r="BE2" s="15"/>
      <c r="BF2" s="4"/>
      <c r="BX2" s="15"/>
      <c r="BY2" s="4"/>
      <c r="CQ2" s="15"/>
    </row>
    <row r="3" spans="1:95">
      <c r="A3" t="s">
        <v>39</v>
      </c>
      <c r="D3" s="1157" t="str">
        <f>IF('Cover Sheet'!$D$14&gt;0,'Cover Sheet'!$D$14,"")</f>
        <v>Ecole Centrale Lyon</v>
      </c>
      <c r="E3" s="1157"/>
      <c r="F3" s="1157"/>
      <c r="G3" s="1157"/>
      <c r="H3" s="1157"/>
      <c r="I3" s="1157"/>
      <c r="J3" s="1157"/>
      <c r="K3" t="s">
        <v>40</v>
      </c>
      <c r="O3" s="1157" t="str">
        <f>IF('Cover Sheet'!$O$14&gt;0,'Cover Sheet'!$O$14,"")</f>
        <v>81 FSCH</v>
      </c>
      <c r="P3" s="1157"/>
      <c r="Q3" s="1157"/>
      <c r="R3" s="1157"/>
      <c r="S3" s="1157"/>
      <c r="T3" t="s">
        <v>39</v>
      </c>
      <c r="W3" s="1157" t="str">
        <f>IF('Cover Sheet'!$D$14&gt;0,'Cover Sheet'!$D$14,"")</f>
        <v>Ecole Centrale Lyon</v>
      </c>
      <c r="X3" s="1157"/>
      <c r="Y3" s="1157"/>
      <c r="Z3" s="1157"/>
      <c r="AA3" s="1157"/>
      <c r="AB3" s="1157"/>
      <c r="AC3" s="1157"/>
      <c r="AD3" t="s">
        <v>40</v>
      </c>
      <c r="AH3" s="1157" t="str">
        <f>IF('Cover Sheet'!$O$14&gt;0,'Cover Sheet'!$O$14,"")</f>
        <v>81 FSCH</v>
      </c>
      <c r="AI3" s="1157"/>
      <c r="AJ3" s="1157"/>
      <c r="AK3" s="1157"/>
      <c r="AL3" s="1402"/>
      <c r="AM3" t="s">
        <v>39</v>
      </c>
      <c r="AP3" s="1157" t="str">
        <f>IF('Cover Sheet'!$D$14&gt;0,'Cover Sheet'!$D$14,"")</f>
        <v>Ecole Centrale Lyon</v>
      </c>
      <c r="AQ3" s="1157"/>
      <c r="AR3" s="1157"/>
      <c r="AS3" s="1157"/>
      <c r="AT3" s="1157"/>
      <c r="AU3" s="1157"/>
      <c r="AV3" s="1157"/>
      <c r="AW3" t="s">
        <v>40</v>
      </c>
      <c r="BA3" s="1157" t="str">
        <f>IF('Cover Sheet'!$O$14&gt;0,'Cover Sheet'!$O$14,"")</f>
        <v>81 FSCH</v>
      </c>
      <c r="BB3" s="1157"/>
      <c r="BC3" s="1157"/>
      <c r="BD3" s="1157"/>
      <c r="BE3" s="1402"/>
      <c r="BF3" t="s">
        <v>39</v>
      </c>
      <c r="BI3" s="1157" t="str">
        <f>IF('Cover Sheet'!$D$14&gt;0,'Cover Sheet'!$D$14,"")</f>
        <v>Ecole Centrale Lyon</v>
      </c>
      <c r="BJ3" s="1157"/>
      <c r="BK3" s="1157"/>
      <c r="BL3" s="1157"/>
      <c r="BM3" s="1157"/>
      <c r="BN3" s="1157"/>
      <c r="BO3" s="1157"/>
      <c r="BP3" t="s">
        <v>40</v>
      </c>
      <c r="BT3" s="1157" t="str">
        <f>IF('Cover Sheet'!$O$14&gt;0,'Cover Sheet'!$O$14,"")</f>
        <v>81 FSCH</v>
      </c>
      <c r="BU3" s="1157"/>
      <c r="BV3" s="1157"/>
      <c r="BW3" s="1157"/>
      <c r="BX3" s="1402"/>
      <c r="BY3" t="s">
        <v>39</v>
      </c>
      <c r="CB3" s="1157" t="str">
        <f>IF('Cover Sheet'!$D$14&gt;0,'Cover Sheet'!$D$14,"")</f>
        <v>Ecole Centrale Lyon</v>
      </c>
      <c r="CC3" s="1157"/>
      <c r="CD3" s="1157"/>
      <c r="CE3" s="1157"/>
      <c r="CF3" s="1157"/>
      <c r="CG3" s="1157"/>
      <c r="CH3" s="1157"/>
      <c r="CI3" t="s">
        <v>40</v>
      </c>
      <c r="CM3" s="1157" t="str">
        <f>IF('Cover Sheet'!$O$14&gt;0,'Cover Sheet'!$O$14,"")</f>
        <v>81 FSCH</v>
      </c>
      <c r="CN3" s="1157"/>
      <c r="CO3" s="1157"/>
      <c r="CP3" s="1157"/>
      <c r="CQ3" s="1402"/>
    </row>
    <row r="4" spans="1:95">
      <c r="A4" s="4"/>
      <c r="S4" s="15"/>
      <c r="T4" s="4"/>
      <c r="AL4" s="15"/>
      <c r="AM4" s="4"/>
      <c r="BE4" s="15"/>
      <c r="BF4" s="4"/>
      <c r="BX4" s="15"/>
      <c r="BY4" s="4"/>
      <c r="CQ4" s="15"/>
    </row>
    <row r="5" spans="1:95" ht="12.75" customHeight="1">
      <c r="A5" s="1211"/>
      <c r="B5" s="1212"/>
      <c r="C5" s="1212"/>
      <c r="D5" s="1212"/>
      <c r="E5" s="1212"/>
      <c r="F5" s="1212"/>
      <c r="G5" s="1212"/>
      <c r="H5" s="1212"/>
      <c r="I5" s="1212"/>
      <c r="J5" s="1212"/>
      <c r="K5" s="1212"/>
      <c r="L5" s="1212"/>
      <c r="M5" s="1212"/>
      <c r="N5" s="1212"/>
      <c r="O5" s="1212"/>
      <c r="P5" s="1212"/>
      <c r="Q5" s="1212"/>
      <c r="R5" s="1212"/>
      <c r="S5" s="1213"/>
      <c r="T5" s="1211"/>
      <c r="U5" s="1212"/>
      <c r="V5" s="1212"/>
      <c r="W5" s="1212"/>
      <c r="X5" s="1212"/>
      <c r="Y5" s="1212"/>
      <c r="Z5" s="1212"/>
      <c r="AA5" s="1212"/>
      <c r="AB5" s="1212"/>
      <c r="AC5" s="1212"/>
      <c r="AD5" s="1212"/>
      <c r="AE5" s="1212"/>
      <c r="AF5" s="1212"/>
      <c r="AG5" s="1212"/>
      <c r="AH5" s="1212"/>
      <c r="AI5" s="1212"/>
      <c r="AJ5" s="1212"/>
      <c r="AK5" s="1212"/>
      <c r="AL5" s="1213"/>
      <c r="AM5" s="1211"/>
      <c r="AN5" s="1212"/>
      <c r="AO5" s="1212"/>
      <c r="AP5" s="1212"/>
      <c r="AQ5" s="1212"/>
      <c r="AR5" s="1212"/>
      <c r="AS5" s="1212"/>
      <c r="AT5" s="1212"/>
      <c r="AU5" s="1212"/>
      <c r="AV5" s="1212"/>
      <c r="AW5" s="1212"/>
      <c r="AX5" s="1212"/>
      <c r="AY5" s="1212"/>
      <c r="AZ5" s="1212"/>
      <c r="BA5" s="1212"/>
      <c r="BB5" s="1212"/>
      <c r="BC5" s="1212"/>
      <c r="BD5" s="1212"/>
      <c r="BE5" s="1213"/>
      <c r="BF5" s="1211"/>
      <c r="BG5" s="1212"/>
      <c r="BH5" s="1212"/>
      <c r="BI5" s="1212"/>
      <c r="BJ5" s="1212"/>
      <c r="BK5" s="1212"/>
      <c r="BL5" s="1212"/>
      <c r="BM5" s="1212"/>
      <c r="BN5" s="1212"/>
      <c r="BO5" s="1212"/>
      <c r="BP5" s="1212"/>
      <c r="BQ5" s="1212"/>
      <c r="BR5" s="1212"/>
      <c r="BS5" s="1212"/>
      <c r="BT5" s="1212"/>
      <c r="BU5" s="1212"/>
      <c r="BV5" s="1212"/>
      <c r="BW5" s="1212"/>
      <c r="BX5" s="1213"/>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c r="AM7" s="28"/>
      <c r="AN7" s="388" t="s">
        <v>220</v>
      </c>
      <c r="AO7" s="26"/>
      <c r="AP7" s="28"/>
      <c r="AQ7" s="26"/>
      <c r="AR7" s="26"/>
      <c r="AS7" s="26"/>
      <c r="AT7" s="26"/>
      <c r="AU7" s="26"/>
      <c r="AV7" s="26"/>
      <c r="AW7" s="26"/>
      <c r="AX7" s="26"/>
      <c r="AY7" s="26"/>
      <c r="AZ7" s="26"/>
      <c r="BA7" s="26"/>
      <c r="BB7" s="26"/>
      <c r="BC7" s="26"/>
      <c r="BD7" s="26"/>
      <c r="BE7" s="27"/>
      <c r="BF7" s="28"/>
      <c r="BG7" s="388" t="s">
        <v>220</v>
      </c>
      <c r="BH7" s="26"/>
      <c r="BI7" s="28"/>
      <c r="BJ7" s="26"/>
      <c r="BK7" s="26"/>
      <c r="BL7" s="26"/>
      <c r="BM7" s="26"/>
      <c r="BN7" s="26"/>
      <c r="BO7" s="26"/>
      <c r="BP7" s="26"/>
      <c r="BQ7" s="26"/>
      <c r="BR7" s="26"/>
      <c r="BS7" s="26"/>
      <c r="BT7" s="26"/>
      <c r="BU7" s="26"/>
      <c r="BV7" s="26"/>
      <c r="BW7" s="26"/>
      <c r="BX7" s="27"/>
      <c r="BY7" s="25"/>
      <c r="BZ7" s="388" t="s">
        <v>220</v>
      </c>
      <c r="CA7" s="26"/>
      <c r="CB7" s="26"/>
      <c r="CC7" s="26"/>
      <c r="CD7" s="26"/>
      <c r="CE7" s="26"/>
      <c r="CF7" s="26"/>
      <c r="CG7" s="26"/>
      <c r="CH7" s="26"/>
      <c r="CI7" s="26"/>
      <c r="CJ7" s="26"/>
      <c r="CK7" s="26"/>
      <c r="CL7" s="26"/>
      <c r="CM7" s="26"/>
      <c r="CN7" s="26"/>
      <c r="CO7" s="26"/>
      <c r="CP7" s="26"/>
      <c r="CQ7" s="27"/>
    </row>
    <row r="8" spans="1:95">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c r="AM8" s="28"/>
      <c r="AN8" s="252"/>
      <c r="AO8" s="26"/>
      <c r="AP8" s="28"/>
      <c r="AQ8" s="26"/>
      <c r="AR8" s="26"/>
      <c r="AS8" s="26"/>
      <c r="AT8" s="26"/>
      <c r="AU8" s="26"/>
      <c r="AV8" s="26"/>
      <c r="AW8" s="26"/>
      <c r="AX8" s="26"/>
      <c r="AY8" s="26"/>
      <c r="AZ8" s="26"/>
      <c r="BA8" s="26"/>
      <c r="BB8" s="26"/>
      <c r="BC8" s="26"/>
      <c r="BD8" s="26"/>
      <c r="BE8" s="27"/>
      <c r="BF8" s="28"/>
      <c r="BG8" s="252"/>
      <c r="BH8" s="26"/>
      <c r="BI8" s="28"/>
      <c r="BJ8" s="26"/>
      <c r="BK8" s="26"/>
      <c r="BL8" s="26"/>
      <c r="BM8" s="26"/>
      <c r="BN8" s="26"/>
      <c r="BO8" s="26"/>
      <c r="BP8" s="26"/>
      <c r="BQ8" s="26"/>
      <c r="BR8" s="26"/>
      <c r="BS8" s="26"/>
      <c r="BT8" s="26"/>
      <c r="BU8" s="26"/>
      <c r="BV8" s="26"/>
      <c r="BW8" s="26"/>
      <c r="BX8" s="27"/>
      <c r="BY8" s="25"/>
      <c r="BZ8" s="252"/>
      <c r="CA8" s="26"/>
      <c r="CB8" s="26"/>
      <c r="CC8" s="26"/>
      <c r="CD8" s="26"/>
      <c r="CE8" s="26"/>
      <c r="CF8" s="26"/>
      <c r="CG8" s="26"/>
      <c r="CH8" s="26"/>
      <c r="CI8" s="26"/>
      <c r="CJ8" s="26"/>
      <c r="CK8" s="26"/>
      <c r="CL8" s="26"/>
      <c r="CM8" s="26"/>
      <c r="CN8" s="26"/>
      <c r="CO8" s="26"/>
      <c r="CP8" s="26"/>
      <c r="CQ8" s="27"/>
    </row>
    <row r="9" spans="1:95">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c r="AM9" s="28"/>
      <c r="AN9" s="388" t="s">
        <v>221</v>
      </c>
      <c r="AO9" s="26"/>
      <c r="AP9" s="28"/>
      <c r="AQ9" s="26"/>
      <c r="AR9" s="26"/>
      <c r="AS9" s="26"/>
      <c r="AT9" s="26"/>
      <c r="AU9" s="26"/>
      <c r="AV9" s="26"/>
      <c r="AW9" s="26"/>
      <c r="AX9" s="26"/>
      <c r="AY9" s="26"/>
      <c r="AZ9" s="26"/>
      <c r="BA9" s="26"/>
      <c r="BB9" s="26"/>
      <c r="BC9" s="26"/>
      <c r="BD9" s="26"/>
      <c r="BE9" s="27"/>
      <c r="BF9" s="28"/>
      <c r="BG9" s="388" t="s">
        <v>221</v>
      </c>
      <c r="BH9" s="26"/>
      <c r="BI9" s="28"/>
      <c r="BJ9" s="26"/>
      <c r="BK9" s="26"/>
      <c r="BL9" s="26"/>
      <c r="BM9" s="26"/>
      <c r="BN9" s="26"/>
      <c r="BO9" s="26"/>
      <c r="BP9" s="26"/>
      <c r="BQ9" s="26"/>
      <c r="BR9" s="26"/>
      <c r="BS9" s="26"/>
      <c r="BT9" s="26"/>
      <c r="BU9" s="26"/>
      <c r="BV9" s="26"/>
      <c r="BW9" s="26"/>
      <c r="BX9" s="27"/>
      <c r="BY9" s="25"/>
      <c r="BZ9" s="388" t="s">
        <v>221</v>
      </c>
      <c r="CA9" s="26"/>
      <c r="CB9" s="26"/>
      <c r="CC9" s="26"/>
      <c r="CD9" s="26"/>
      <c r="CE9" s="26"/>
      <c r="CF9" s="26"/>
      <c r="CG9" s="26"/>
      <c r="CH9" s="26"/>
      <c r="CI9" s="26"/>
      <c r="CJ9" s="26"/>
      <c r="CK9" s="26"/>
      <c r="CL9" s="26"/>
      <c r="CM9" s="26"/>
      <c r="CN9" s="26"/>
      <c r="CO9" s="26"/>
      <c r="CP9" s="26"/>
      <c r="CQ9" s="27"/>
    </row>
    <row r="10" spans="1:95">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c r="AM10" s="28"/>
      <c r="AN10" s="252"/>
      <c r="AO10" s="26"/>
      <c r="AP10" s="26"/>
      <c r="AQ10" s="26"/>
      <c r="AR10" s="26"/>
      <c r="AS10" s="26"/>
      <c r="AT10" s="26"/>
      <c r="AU10" s="26"/>
      <c r="AV10" s="26"/>
      <c r="AW10" s="26"/>
      <c r="AX10" s="26"/>
      <c r="AY10" s="26"/>
      <c r="AZ10" s="26"/>
      <c r="BA10" s="26"/>
      <c r="BB10" s="26"/>
      <c r="BC10" s="26"/>
      <c r="BD10" s="26"/>
      <c r="BE10" s="27"/>
      <c r="BF10" s="28"/>
      <c r="BG10" s="252"/>
      <c r="BH10" s="26"/>
      <c r="BI10" s="26"/>
      <c r="BJ10" s="26"/>
      <c r="BK10" s="26"/>
      <c r="BL10" s="26"/>
      <c r="BM10" s="26"/>
      <c r="BN10" s="26"/>
      <c r="BO10" s="26"/>
      <c r="BP10" s="26"/>
      <c r="BQ10" s="26"/>
      <c r="BR10" s="26"/>
      <c r="BS10" s="26"/>
      <c r="BT10" s="26"/>
      <c r="BU10" s="26"/>
      <c r="BV10" s="26"/>
      <c r="BW10" s="26"/>
      <c r="BX10" s="27"/>
      <c r="BY10" s="25"/>
      <c r="BZ10" s="252"/>
      <c r="CA10" s="26"/>
      <c r="CB10" s="26"/>
      <c r="CC10" s="26"/>
      <c r="CD10" s="26"/>
      <c r="CE10" s="26"/>
      <c r="CF10" s="26"/>
      <c r="CG10" s="26"/>
      <c r="CH10" s="26"/>
      <c r="CI10" s="26"/>
      <c r="CJ10" s="26"/>
      <c r="CK10" s="26"/>
      <c r="CL10" s="26"/>
      <c r="CM10" s="26"/>
      <c r="CN10" s="26"/>
      <c r="CO10" s="26"/>
      <c r="CP10" s="26"/>
      <c r="CQ10" s="27"/>
    </row>
    <row r="11" spans="1:95">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c r="AM11" s="25"/>
      <c r="AN11" s="388" t="s">
        <v>222</v>
      </c>
      <c r="AO11" s="26"/>
      <c r="AP11" s="26"/>
      <c r="AQ11" s="26"/>
      <c r="AR11" s="26"/>
      <c r="AS11" s="26"/>
      <c r="AT11" s="26"/>
      <c r="AU11" s="26"/>
      <c r="AV11" s="26"/>
      <c r="AW11" s="26"/>
      <c r="AX11" s="26"/>
      <c r="AY11" s="26"/>
      <c r="AZ11" s="26"/>
      <c r="BA11" s="26"/>
      <c r="BB11" s="26"/>
      <c r="BC11" s="26"/>
      <c r="BD11" s="26"/>
      <c r="BE11" s="27"/>
      <c r="BF11" s="25"/>
      <c r="BG11" s="388" t="s">
        <v>222</v>
      </c>
      <c r="BH11" s="26"/>
      <c r="BI11" s="26"/>
      <c r="BJ11" s="26"/>
      <c r="BK11" s="26"/>
      <c r="BL11" s="26"/>
      <c r="BM11" s="26"/>
      <c r="BN11" s="26"/>
      <c r="BO11" s="26"/>
      <c r="BP11" s="26"/>
      <c r="BQ11" s="26"/>
      <c r="BR11" s="26"/>
      <c r="BS11" s="26"/>
      <c r="BT11" s="26"/>
      <c r="BU11" s="26"/>
      <c r="BV11" s="26"/>
      <c r="BW11" s="26"/>
      <c r="BX11" s="27"/>
      <c r="BY11" s="25"/>
      <c r="BZ11" s="388" t="s">
        <v>222</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89" t="s">
        <v>294</v>
      </c>
      <c r="B19" s="6"/>
      <c r="C19" s="6"/>
      <c r="D19" s="6"/>
      <c r="E19" s="6"/>
      <c r="F19" s="6"/>
      <c r="G19" s="6"/>
      <c r="H19" s="6"/>
      <c r="I19" s="6"/>
      <c r="J19" s="6"/>
      <c r="K19" s="6"/>
      <c r="L19" s="6"/>
      <c r="M19" s="6"/>
      <c r="N19" s="6"/>
      <c r="O19" s="6"/>
      <c r="P19" s="6"/>
      <c r="Q19" s="6"/>
      <c r="R19" s="6"/>
      <c r="S19" s="7"/>
      <c r="T19" s="289" t="s">
        <v>294</v>
      </c>
      <c r="U19" s="6"/>
      <c r="V19" s="6"/>
      <c r="W19" s="6"/>
      <c r="X19" s="6"/>
      <c r="Y19" s="6"/>
      <c r="Z19" s="6"/>
      <c r="AA19" s="6"/>
      <c r="AB19" s="6"/>
      <c r="AC19" s="6"/>
      <c r="AD19" s="6"/>
      <c r="AE19" s="6"/>
      <c r="AF19" s="6"/>
      <c r="AG19" s="6"/>
      <c r="AH19" s="6"/>
      <c r="AI19" s="6"/>
      <c r="AJ19" s="6"/>
      <c r="AK19" s="6"/>
      <c r="AL19" s="7"/>
      <c r="AM19" s="289" t="s">
        <v>294</v>
      </c>
      <c r="AN19" s="6"/>
      <c r="AO19" s="6"/>
      <c r="AP19" s="6"/>
      <c r="AQ19" s="6"/>
      <c r="AR19" s="6"/>
      <c r="AS19" s="6"/>
      <c r="AT19" s="6"/>
      <c r="AU19" s="6"/>
      <c r="AV19" s="6"/>
      <c r="AW19" s="6"/>
      <c r="AX19" s="6"/>
      <c r="AY19" s="6"/>
      <c r="AZ19" s="6"/>
      <c r="BA19" s="6"/>
      <c r="BB19" s="6"/>
      <c r="BC19" s="6"/>
      <c r="BD19" s="6"/>
      <c r="BE19" s="7"/>
      <c r="BF19" s="289" t="s">
        <v>294</v>
      </c>
      <c r="BG19" s="6"/>
      <c r="BH19" s="6"/>
      <c r="BI19" s="6"/>
      <c r="BJ19" s="6"/>
      <c r="BK19" s="6"/>
      <c r="BL19" s="6"/>
      <c r="BM19" s="6"/>
      <c r="BN19" s="6"/>
      <c r="BO19" s="6"/>
      <c r="BP19" s="6"/>
      <c r="BQ19" s="6"/>
      <c r="BR19" s="6"/>
      <c r="BS19" s="6"/>
      <c r="BT19" s="6"/>
      <c r="BU19" s="6"/>
      <c r="BV19" s="6"/>
      <c r="BW19" s="6"/>
      <c r="BX19" s="7"/>
      <c r="BY19" s="9" t="s">
        <v>295</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c r="AM23" s="25"/>
      <c r="AN23" s="388" t="s">
        <v>225</v>
      </c>
      <c r="AO23" s="26"/>
      <c r="AP23" s="26"/>
      <c r="AQ23" s="26"/>
      <c r="AR23" s="26"/>
      <c r="AS23" s="26"/>
      <c r="AT23" s="26"/>
      <c r="AU23" s="26"/>
      <c r="AV23" s="26"/>
      <c r="AW23" s="26"/>
      <c r="AX23" s="26"/>
      <c r="AY23" s="26"/>
      <c r="AZ23" s="26"/>
      <c r="BA23" s="26"/>
      <c r="BB23" s="26"/>
      <c r="BC23" s="26"/>
      <c r="BD23" s="26"/>
      <c r="BE23" s="27"/>
      <c r="BF23" s="25"/>
      <c r="BG23" s="388" t="s">
        <v>225</v>
      </c>
      <c r="BH23" s="26"/>
      <c r="BI23" s="26"/>
      <c r="BJ23" s="26"/>
      <c r="BK23" s="26"/>
      <c r="BL23" s="26"/>
      <c r="BM23" s="26"/>
      <c r="BN23" s="26"/>
      <c r="BO23" s="26"/>
      <c r="BP23" s="26"/>
      <c r="BQ23" s="26"/>
      <c r="BR23" s="26"/>
      <c r="BS23" s="26"/>
      <c r="BT23" s="26"/>
      <c r="BU23" s="26"/>
      <c r="BV23" s="26"/>
      <c r="BW23" s="26"/>
      <c r="BX23" s="27"/>
      <c r="BY23" s="25"/>
      <c r="BZ23" s="388" t="s">
        <v>225</v>
      </c>
      <c r="CA23" s="26"/>
      <c r="CB23" s="26"/>
      <c r="CC23" s="26"/>
      <c r="CD23" s="26"/>
      <c r="CE23" s="26"/>
      <c r="CF23" s="26"/>
      <c r="CG23" s="26"/>
      <c r="CH23" s="26"/>
      <c r="CI23" s="26"/>
      <c r="CJ23" s="26"/>
      <c r="CK23" s="26"/>
      <c r="CL23" s="26"/>
      <c r="CM23" s="26"/>
      <c r="CN23" s="26"/>
      <c r="CO23" s="26"/>
      <c r="CP23" s="26"/>
      <c r="CQ23" s="27"/>
    </row>
    <row r="24" spans="1:9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c r="AM24" s="25"/>
      <c r="AN24" s="249"/>
      <c r="AO24" s="26"/>
      <c r="AP24" s="26"/>
      <c r="AQ24" s="26"/>
      <c r="AR24" s="26"/>
      <c r="AS24" s="26"/>
      <c r="AT24" s="26"/>
      <c r="AU24" s="26"/>
      <c r="AV24" s="26"/>
      <c r="AW24" s="26"/>
      <c r="AX24" s="26"/>
      <c r="AY24" s="26"/>
      <c r="AZ24" s="26"/>
      <c r="BA24" s="26"/>
      <c r="BB24" s="26"/>
      <c r="BC24" s="26"/>
      <c r="BD24" s="26"/>
      <c r="BE24" s="27"/>
      <c r="BF24" s="25"/>
      <c r="BG24" s="249"/>
      <c r="BH24" s="26"/>
      <c r="BI24" s="26"/>
      <c r="BJ24" s="26"/>
      <c r="BK24" s="26"/>
      <c r="BL24" s="26"/>
      <c r="BM24" s="26"/>
      <c r="BN24" s="26"/>
      <c r="BO24" s="26"/>
      <c r="BP24" s="26"/>
      <c r="BQ24" s="26"/>
      <c r="BR24" s="26"/>
      <c r="BS24" s="26"/>
      <c r="BT24" s="26"/>
      <c r="BU24" s="26"/>
      <c r="BV24" s="26"/>
      <c r="BW24" s="26"/>
      <c r="BX24" s="27"/>
      <c r="BY24" s="25"/>
      <c r="BZ24" s="249"/>
      <c r="CA24" s="26"/>
      <c r="CB24" s="26"/>
      <c r="CC24" s="26"/>
      <c r="CD24" s="26"/>
      <c r="CE24" s="26"/>
      <c r="CF24" s="26"/>
      <c r="CG24" s="26"/>
      <c r="CH24" s="26"/>
      <c r="CI24" s="26"/>
      <c r="CJ24" s="26"/>
      <c r="CK24" s="26"/>
      <c r="CL24" s="26"/>
      <c r="CM24" s="26"/>
      <c r="CN24" s="26"/>
      <c r="CO24" s="26"/>
      <c r="CP24" s="26"/>
      <c r="CQ24" s="27"/>
    </row>
    <row r="25" spans="1:95">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c r="AM25" s="25"/>
      <c r="AN25" s="388" t="s">
        <v>226</v>
      </c>
      <c r="AO25" s="26"/>
      <c r="AP25" s="26"/>
      <c r="AQ25" s="26"/>
      <c r="AR25" s="26"/>
      <c r="AS25" s="26"/>
      <c r="AT25" s="26"/>
      <c r="AU25" s="26"/>
      <c r="AV25" s="26"/>
      <c r="AW25" s="26"/>
      <c r="AX25" s="26"/>
      <c r="AY25" s="26"/>
      <c r="AZ25" s="26"/>
      <c r="BA25" s="26"/>
      <c r="BB25" s="26"/>
      <c r="BC25" s="26"/>
      <c r="BD25" s="26"/>
      <c r="BE25" s="27"/>
      <c r="BF25" s="25"/>
      <c r="BG25" s="388" t="s">
        <v>226</v>
      </c>
      <c r="BH25" s="26"/>
      <c r="BI25" s="26"/>
      <c r="BJ25" s="26"/>
      <c r="BK25" s="26"/>
      <c r="BL25" s="26"/>
      <c r="BM25" s="26"/>
      <c r="BN25" s="26"/>
      <c r="BO25" s="26"/>
      <c r="BP25" s="26"/>
      <c r="BQ25" s="26"/>
      <c r="BR25" s="26"/>
      <c r="BS25" s="26"/>
      <c r="BT25" s="26"/>
      <c r="BU25" s="26"/>
      <c r="BV25" s="26"/>
      <c r="BW25" s="26"/>
      <c r="BX25" s="27"/>
      <c r="BY25" s="25"/>
      <c r="BZ25" s="388" t="s">
        <v>226</v>
      </c>
      <c r="CA25" s="26"/>
      <c r="CB25" s="26"/>
      <c r="CC25" s="26"/>
      <c r="CD25" s="26"/>
      <c r="CE25" s="26"/>
      <c r="CF25" s="26"/>
      <c r="CG25" s="26"/>
      <c r="CH25" s="26"/>
      <c r="CI25" s="26"/>
      <c r="CJ25" s="26"/>
      <c r="CK25" s="26"/>
      <c r="CL25" s="26"/>
      <c r="CM25" s="26"/>
      <c r="CN25" s="26"/>
      <c r="CO25" s="26"/>
      <c r="CP25" s="26"/>
      <c r="CQ25" s="27"/>
    </row>
    <row r="26" spans="1:95">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c r="AM26" s="25"/>
      <c r="AN26" s="249"/>
      <c r="AO26" s="26"/>
      <c r="AP26" s="26"/>
      <c r="AQ26" s="26"/>
      <c r="AR26" s="26"/>
      <c r="AS26" s="26"/>
      <c r="AT26" s="26"/>
      <c r="AU26" s="26"/>
      <c r="AV26" s="26"/>
      <c r="AW26" s="26"/>
      <c r="AX26" s="26"/>
      <c r="AY26" s="26"/>
      <c r="AZ26" s="26"/>
      <c r="BA26" s="26"/>
      <c r="BB26" s="26"/>
      <c r="BC26" s="26"/>
      <c r="BD26" s="26"/>
      <c r="BE26" s="27"/>
      <c r="BF26" s="25"/>
      <c r="BG26" s="249"/>
      <c r="BH26" s="26"/>
      <c r="BI26" s="26"/>
      <c r="BJ26" s="26"/>
      <c r="BK26" s="26"/>
      <c r="BL26" s="26"/>
      <c r="BM26" s="26"/>
      <c r="BN26" s="26"/>
      <c r="BO26" s="26"/>
      <c r="BP26" s="26"/>
      <c r="BQ26" s="26"/>
      <c r="BR26" s="26"/>
      <c r="BS26" s="26"/>
      <c r="BT26" s="26"/>
      <c r="BU26" s="26"/>
      <c r="BV26" s="26"/>
      <c r="BW26" s="26"/>
      <c r="BX26" s="27"/>
      <c r="BY26" s="25"/>
      <c r="BZ26" s="249"/>
      <c r="CA26" s="26"/>
      <c r="CB26" s="26"/>
      <c r="CC26" s="26"/>
      <c r="CD26" s="26"/>
      <c r="CE26" s="26"/>
      <c r="CF26" s="26"/>
      <c r="CG26" s="26"/>
      <c r="CH26" s="26"/>
      <c r="CI26" s="26"/>
      <c r="CJ26" s="26"/>
      <c r="CK26" s="26"/>
      <c r="CL26" s="26"/>
      <c r="CM26" s="26"/>
      <c r="CN26" s="26"/>
      <c r="CO26" s="26"/>
      <c r="CP26" s="26"/>
      <c r="CQ26" s="27"/>
    </row>
    <row r="27" spans="1:95">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c r="AM27" s="25"/>
      <c r="AN27" s="388" t="s">
        <v>227</v>
      </c>
      <c r="AO27" s="26"/>
      <c r="AP27" s="26"/>
      <c r="AQ27" s="26"/>
      <c r="AR27" s="26"/>
      <c r="AS27" s="26"/>
      <c r="AT27" s="26"/>
      <c r="AU27" s="26"/>
      <c r="AV27" s="26"/>
      <c r="AW27" s="26"/>
      <c r="AX27" s="26"/>
      <c r="AY27" s="26"/>
      <c r="AZ27" s="26"/>
      <c r="BA27" s="26"/>
      <c r="BB27" s="26"/>
      <c r="BC27" s="26"/>
      <c r="BD27" s="26"/>
      <c r="BE27" s="27"/>
      <c r="BF27" s="25"/>
      <c r="BG27" s="388" t="s">
        <v>227</v>
      </c>
      <c r="BH27" s="26"/>
      <c r="BI27" s="26"/>
      <c r="BJ27" s="26"/>
      <c r="BK27" s="26"/>
      <c r="BL27" s="26"/>
      <c r="BM27" s="26"/>
      <c r="BN27" s="26"/>
      <c r="BO27" s="26"/>
      <c r="BP27" s="26"/>
      <c r="BQ27" s="26"/>
      <c r="BR27" s="26"/>
      <c r="BS27" s="26"/>
      <c r="BT27" s="26"/>
      <c r="BU27" s="26"/>
      <c r="BV27" s="26"/>
      <c r="BW27" s="26"/>
      <c r="BX27" s="27"/>
      <c r="BY27" s="25"/>
      <c r="BZ27" s="388" t="s">
        <v>227</v>
      </c>
      <c r="CA27" s="26"/>
      <c r="CB27" s="26"/>
      <c r="CC27" s="26"/>
      <c r="CD27" s="26"/>
      <c r="CE27" s="26"/>
      <c r="CF27" s="26"/>
      <c r="CG27" s="26"/>
      <c r="CH27" s="26"/>
      <c r="CI27" s="26"/>
      <c r="CJ27" s="26"/>
      <c r="CK27" s="26"/>
      <c r="CL27" s="26"/>
      <c r="CM27" s="26"/>
      <c r="CN27" s="26"/>
      <c r="CO27" s="26"/>
      <c r="CP27" s="26"/>
      <c r="CQ27" s="27"/>
    </row>
    <row r="28" spans="1:95">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c r="AM28" s="25"/>
      <c r="AN28" s="249"/>
      <c r="AO28" s="26"/>
      <c r="AP28" s="26"/>
      <c r="AQ28" s="26"/>
      <c r="AR28" s="26"/>
      <c r="AS28" s="26"/>
      <c r="AT28" s="26"/>
      <c r="AU28" s="26"/>
      <c r="AV28" s="26"/>
      <c r="AW28" s="26"/>
      <c r="AX28" s="26"/>
      <c r="AY28" s="26"/>
      <c r="AZ28" s="26"/>
      <c r="BA28" s="26"/>
      <c r="BB28" s="26"/>
      <c r="BC28" s="26"/>
      <c r="BD28" s="26"/>
      <c r="BE28" s="27"/>
      <c r="BF28" s="25"/>
      <c r="BG28" s="249"/>
      <c r="BH28" s="26"/>
      <c r="BI28" s="26"/>
      <c r="BJ28" s="26"/>
      <c r="BK28" s="26"/>
      <c r="BL28" s="26"/>
      <c r="BM28" s="26"/>
      <c r="BN28" s="26"/>
      <c r="BO28" s="26"/>
      <c r="BP28" s="26"/>
      <c r="BQ28" s="26"/>
      <c r="BR28" s="26"/>
      <c r="BS28" s="26"/>
      <c r="BT28" s="26"/>
      <c r="BU28" s="26"/>
      <c r="BV28" s="26"/>
      <c r="BW28" s="26"/>
      <c r="BX28" s="27"/>
      <c r="BY28" s="25"/>
      <c r="BZ28" s="249"/>
      <c r="CA28" s="26"/>
      <c r="CB28" s="26"/>
      <c r="CC28" s="26"/>
      <c r="CD28" s="26"/>
      <c r="CE28" s="26"/>
      <c r="CF28" s="26"/>
      <c r="CG28" s="26"/>
      <c r="CH28" s="26"/>
      <c r="CI28" s="26"/>
      <c r="CJ28" s="26"/>
      <c r="CK28" s="26"/>
      <c r="CL28" s="26"/>
      <c r="CM28" s="26"/>
      <c r="CN28" s="26"/>
      <c r="CO28" s="26"/>
      <c r="CP28" s="26"/>
      <c r="CQ28" s="27"/>
    </row>
    <row r="29" spans="1:95">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c r="AM29" s="25"/>
      <c r="AN29" s="388" t="s">
        <v>228</v>
      </c>
      <c r="AO29" s="26"/>
      <c r="AP29" s="26"/>
      <c r="AQ29" s="26"/>
      <c r="AR29" s="26"/>
      <c r="AS29" s="26"/>
      <c r="AT29" s="26"/>
      <c r="AU29" s="26"/>
      <c r="AV29" s="26"/>
      <c r="AW29" s="26"/>
      <c r="AX29" s="26"/>
      <c r="AY29" s="26"/>
      <c r="AZ29" s="26"/>
      <c r="BA29" s="26"/>
      <c r="BB29" s="26"/>
      <c r="BC29" s="26"/>
      <c r="BD29" s="26"/>
      <c r="BE29" s="27"/>
      <c r="BF29" s="25"/>
      <c r="BG29" s="388" t="s">
        <v>228</v>
      </c>
      <c r="BH29" s="26"/>
      <c r="BI29" s="26"/>
      <c r="BJ29" s="26"/>
      <c r="BK29" s="26"/>
      <c r="BL29" s="26"/>
      <c r="BM29" s="26"/>
      <c r="BN29" s="26"/>
      <c r="BO29" s="26"/>
      <c r="BP29" s="26"/>
      <c r="BQ29" s="26"/>
      <c r="BR29" s="26"/>
      <c r="BS29" s="26"/>
      <c r="BT29" s="26"/>
      <c r="BU29" s="26"/>
      <c r="BV29" s="26"/>
      <c r="BW29" s="26"/>
      <c r="BX29" s="27"/>
      <c r="BY29" s="25"/>
      <c r="BZ29" s="388" t="s">
        <v>228</v>
      </c>
      <c r="CA29" s="26"/>
      <c r="CB29" s="26"/>
      <c r="CC29" s="26"/>
      <c r="CD29" s="26"/>
      <c r="CE29" s="26"/>
      <c r="CF29" s="26"/>
      <c r="CG29" s="26"/>
      <c r="CH29" s="26"/>
      <c r="CI29" s="26"/>
      <c r="CJ29" s="26"/>
      <c r="CK29" s="26"/>
      <c r="CL29" s="26"/>
      <c r="CM29" s="26"/>
      <c r="CN29" s="26"/>
      <c r="CO29" s="26"/>
      <c r="CP29" s="26"/>
      <c r="CQ29" s="27"/>
    </row>
    <row r="30" spans="1:95">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c r="AM30" s="25"/>
      <c r="AN30" s="388" t="s">
        <v>229</v>
      </c>
      <c r="AO30" s="26"/>
      <c r="AP30" s="26"/>
      <c r="AQ30" s="26"/>
      <c r="AR30" s="26"/>
      <c r="AS30" s="26"/>
      <c r="AT30" s="26"/>
      <c r="AU30" s="26"/>
      <c r="AV30" s="26"/>
      <c r="AW30" s="26"/>
      <c r="AX30" s="26"/>
      <c r="AY30" s="26"/>
      <c r="AZ30" s="26"/>
      <c r="BA30" s="26"/>
      <c r="BB30" s="26"/>
      <c r="BC30" s="26"/>
      <c r="BD30" s="26"/>
      <c r="BE30" s="27"/>
      <c r="BF30" s="25"/>
      <c r="BG30" s="388" t="s">
        <v>229</v>
      </c>
      <c r="BH30" s="26"/>
      <c r="BI30" s="26"/>
      <c r="BJ30" s="26"/>
      <c r="BK30" s="26"/>
      <c r="BL30" s="26"/>
      <c r="BM30" s="26"/>
      <c r="BN30" s="26"/>
      <c r="BO30" s="26"/>
      <c r="BP30" s="26"/>
      <c r="BQ30" s="26"/>
      <c r="BR30" s="26"/>
      <c r="BS30" s="26"/>
      <c r="BT30" s="26"/>
      <c r="BU30" s="26"/>
      <c r="BV30" s="26"/>
      <c r="BW30" s="26"/>
      <c r="BX30" s="27"/>
      <c r="BY30" s="25"/>
      <c r="BZ30" s="388" t="s">
        <v>229</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666</v>
      </c>
      <c r="B43" s="6"/>
      <c r="C43" s="6"/>
      <c r="D43" s="6"/>
      <c r="E43" s="6"/>
      <c r="F43" s="6"/>
      <c r="G43" s="6"/>
      <c r="H43" s="6"/>
      <c r="I43" s="6"/>
      <c r="J43" s="6"/>
      <c r="K43" s="6"/>
      <c r="L43" s="6"/>
      <c r="M43" s="6"/>
      <c r="N43" s="6"/>
      <c r="O43" s="6"/>
      <c r="P43" s="6"/>
      <c r="Q43" s="6"/>
      <c r="R43" s="6"/>
      <c r="S43" s="7"/>
      <c r="T43" s="9" t="s">
        <v>666</v>
      </c>
      <c r="U43" s="6"/>
      <c r="V43" s="6"/>
      <c r="W43" s="6"/>
      <c r="X43" s="6"/>
      <c r="Y43" s="6"/>
      <c r="Z43" s="6"/>
      <c r="AA43" s="6"/>
      <c r="AB43" s="6"/>
      <c r="AC43" s="6"/>
      <c r="AD43" s="6"/>
      <c r="AE43" s="6"/>
      <c r="AF43" s="6"/>
      <c r="AG43" s="6"/>
      <c r="AH43" s="6"/>
      <c r="AI43" s="6"/>
      <c r="AJ43" s="6"/>
      <c r="AK43" s="6"/>
      <c r="AL43" s="7"/>
      <c r="AM43" s="9" t="s">
        <v>666</v>
      </c>
      <c r="AN43" s="6"/>
      <c r="AO43" s="6"/>
      <c r="AP43" s="6"/>
      <c r="AQ43" s="6"/>
      <c r="AR43" s="6"/>
      <c r="AS43" s="6"/>
      <c r="AT43" s="6"/>
      <c r="AU43" s="6"/>
      <c r="AV43" s="6"/>
      <c r="AW43" s="6"/>
      <c r="AX43" s="6"/>
      <c r="AY43" s="6"/>
      <c r="AZ43" s="6"/>
      <c r="BA43" s="6"/>
      <c r="BB43" s="6"/>
      <c r="BC43" s="6"/>
      <c r="BD43" s="6"/>
      <c r="BE43" s="7"/>
      <c r="BF43" s="9" t="s">
        <v>666</v>
      </c>
      <c r="BG43" s="6"/>
      <c r="BH43" s="6"/>
      <c r="BI43" s="6"/>
      <c r="BJ43" s="6"/>
      <c r="BK43" s="6"/>
      <c r="BL43" s="6"/>
      <c r="BM43" s="6"/>
      <c r="BN43" s="6"/>
      <c r="BO43" s="6"/>
      <c r="BP43" s="6"/>
      <c r="BQ43" s="6"/>
      <c r="BR43" s="6"/>
      <c r="BS43" s="6"/>
      <c r="BT43" s="6"/>
      <c r="BU43" s="6"/>
      <c r="BV43" s="6"/>
      <c r="BW43" s="6"/>
      <c r="BX43" s="7"/>
      <c r="BY43" s="9" t="s">
        <v>297</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c r="AM45" s="86" t="s">
        <v>233</v>
      </c>
      <c r="AN45" s="10"/>
      <c r="AO45" s="10"/>
      <c r="AP45" s="10"/>
      <c r="AQ45" s="10"/>
      <c r="AR45" s="10"/>
      <c r="AS45" s="10"/>
      <c r="AT45" s="10"/>
      <c r="AU45" s="10"/>
      <c r="AV45" s="10"/>
      <c r="AW45" s="10"/>
      <c r="AX45" s="10"/>
      <c r="AY45" s="10"/>
      <c r="AZ45" s="10"/>
      <c r="BA45" s="10"/>
      <c r="BB45" s="10"/>
      <c r="BC45" s="10"/>
      <c r="BD45" s="10"/>
      <c r="BE45" s="11"/>
      <c r="BF45" s="86" t="s">
        <v>233</v>
      </c>
      <c r="BG45" s="10"/>
      <c r="BH45" s="10"/>
      <c r="BI45" s="10"/>
      <c r="BJ45" s="10"/>
      <c r="BK45" s="10"/>
      <c r="BL45" s="10"/>
      <c r="BM45" s="10"/>
      <c r="BN45" s="10"/>
      <c r="BO45" s="10"/>
      <c r="BP45" s="10"/>
      <c r="BQ45" s="10"/>
      <c r="BR45" s="10"/>
      <c r="BS45" s="10"/>
      <c r="BT45" s="10"/>
      <c r="BU45" s="10"/>
      <c r="BV45" s="10"/>
      <c r="BW45" s="10"/>
      <c r="BX45" s="11"/>
      <c r="BY45" s="86" t="s">
        <v>233</v>
      </c>
      <c r="BZ45" s="10"/>
      <c r="CA45" s="10"/>
      <c r="CB45" s="10"/>
      <c r="CC45" s="10"/>
      <c r="CD45" s="10"/>
      <c r="CE45" s="10"/>
      <c r="CF45" s="10"/>
      <c r="CG45" s="10"/>
      <c r="CH45" s="10"/>
      <c r="CI45" s="10"/>
      <c r="CJ45" s="10"/>
      <c r="CK45" s="10"/>
      <c r="CL45" s="10"/>
      <c r="CM45" s="10"/>
      <c r="CN45" s="10"/>
      <c r="CO45" s="10"/>
      <c r="CP45" s="10"/>
      <c r="CQ45" s="11"/>
    </row>
    <row r="46" spans="1:95" ht="14.25" customHeight="1">
      <c r="A46" s="1187" t="s">
        <v>235</v>
      </c>
      <c r="B46" s="1186"/>
      <c r="C46" s="1182">
        <v>0</v>
      </c>
      <c r="D46" s="1183"/>
      <c r="E46" s="1186" t="s">
        <v>236</v>
      </c>
      <c r="F46" s="1186"/>
      <c r="G46" s="1182">
        <v>0</v>
      </c>
      <c r="H46" s="1183"/>
      <c r="I46" s="8"/>
      <c r="J46" s="10"/>
      <c r="K46" s="10"/>
      <c r="L46" s="10"/>
      <c r="M46" s="87" t="s">
        <v>237</v>
      </c>
      <c r="N46" s="1214">
        <f>IF(C47&gt;0,(((G47-G46)/(C47-C46))^-1-IF(CL52&gt;0,CL52^-1,0))^-1,0)</f>
        <v>0</v>
      </c>
      <c r="O46" s="1215"/>
      <c r="P46" s="1197"/>
      <c r="Q46" s="1198"/>
      <c r="R46" s="1198"/>
      <c r="S46" s="11"/>
      <c r="T46" s="1187" t="s">
        <v>235</v>
      </c>
      <c r="U46" s="1186"/>
      <c r="V46" s="1182">
        <v>0</v>
      </c>
      <c r="W46" s="1183"/>
      <c r="X46" s="1186" t="s">
        <v>236</v>
      </c>
      <c r="Y46" s="1186"/>
      <c r="Z46" s="1182">
        <v>0</v>
      </c>
      <c r="AA46" s="1183"/>
      <c r="AB46" s="8"/>
      <c r="AC46" s="10"/>
      <c r="AD46" s="10"/>
      <c r="AE46" s="10"/>
      <c r="AF46" s="87" t="s">
        <v>237</v>
      </c>
      <c r="AG46" s="1214">
        <f>IF(V47&gt;0,(((Z47-Z46)/(V47-V46))^-1-IF(CL52&gt;0,CL52^-1,0))^-1,0)</f>
        <v>0</v>
      </c>
      <c r="AH46" s="1215"/>
      <c r="AI46" s="1197"/>
      <c r="AJ46" s="1198"/>
      <c r="AK46" s="1198"/>
      <c r="AL46" s="11"/>
      <c r="AM46" s="1187" t="s">
        <v>235</v>
      </c>
      <c r="AN46" s="1186"/>
      <c r="AO46" s="1182">
        <v>0</v>
      </c>
      <c r="AP46" s="1183"/>
      <c r="AQ46" s="1186" t="s">
        <v>236</v>
      </c>
      <c r="AR46" s="1186"/>
      <c r="AS46" s="1182">
        <v>0</v>
      </c>
      <c r="AT46" s="1183"/>
      <c r="AU46" s="8"/>
      <c r="AV46" s="10"/>
      <c r="AW46" s="10"/>
      <c r="AX46" s="10"/>
      <c r="AY46" s="87" t="s">
        <v>237</v>
      </c>
      <c r="AZ46" s="1214">
        <f>IF(AO47&gt;0,(((AS47-AS46)/(AO47-AO46))^-1-IF(CL52&gt;0,CL52^-1,0))^-1,0)</f>
        <v>0</v>
      </c>
      <c r="BA46" s="1215"/>
      <c r="BB46" s="1197"/>
      <c r="BC46" s="1198"/>
      <c r="BD46" s="1198"/>
      <c r="BE46" s="11"/>
      <c r="BF46" s="1187" t="s">
        <v>235</v>
      </c>
      <c r="BG46" s="1186"/>
      <c r="BH46" s="1182">
        <v>0</v>
      </c>
      <c r="BI46" s="1183"/>
      <c r="BJ46" s="1186" t="s">
        <v>236</v>
      </c>
      <c r="BK46" s="1186"/>
      <c r="BL46" s="1182">
        <v>0</v>
      </c>
      <c r="BM46" s="1183"/>
      <c r="BN46" s="8"/>
      <c r="BO46" s="10"/>
      <c r="BP46" s="10"/>
      <c r="BQ46" s="10"/>
      <c r="BR46" s="87" t="s">
        <v>237</v>
      </c>
      <c r="BS46" s="1214">
        <f>IF(BH47&gt;0,(((BL47-BL46)/(BH47-BH46))^-1-IF(CL52&gt;0,CL52^-1,0))^-1,0)</f>
        <v>0</v>
      </c>
      <c r="BT46" s="1215"/>
      <c r="BU46" s="1197"/>
      <c r="BV46" s="1198"/>
      <c r="BW46" s="1198"/>
      <c r="BX46" s="11"/>
      <c r="BY46" s="1187" t="s">
        <v>235</v>
      </c>
      <c r="BZ46" s="1186"/>
      <c r="CA46" s="1182">
        <v>0</v>
      </c>
      <c r="CB46" s="1183"/>
      <c r="CC46" s="1186" t="s">
        <v>236</v>
      </c>
      <c r="CD46" s="1186"/>
      <c r="CE46" s="1182">
        <v>0</v>
      </c>
      <c r="CF46" s="1183"/>
      <c r="CG46" s="8"/>
      <c r="CH46" s="10"/>
      <c r="CI46" s="10"/>
      <c r="CJ46" s="10"/>
      <c r="CK46" s="87" t="s">
        <v>237</v>
      </c>
      <c r="CL46" s="1190">
        <f>IF((CA47-CA46)&gt;0,(CE47-CE46)/(CA47-CA46),0)</f>
        <v>0</v>
      </c>
      <c r="CM46" s="1191"/>
      <c r="CN46" s="10"/>
      <c r="CO46" s="10"/>
      <c r="CP46" s="10"/>
      <c r="CQ46" s="11"/>
    </row>
    <row r="47" spans="1:95" ht="14.25" customHeight="1">
      <c r="A47" s="1187" t="s">
        <v>238</v>
      </c>
      <c r="B47" s="1186"/>
      <c r="C47" s="1182">
        <v>0</v>
      </c>
      <c r="D47" s="1183"/>
      <c r="E47" s="1186" t="s">
        <v>239</v>
      </c>
      <c r="F47" s="1186"/>
      <c r="G47" s="1182">
        <v>0</v>
      </c>
      <c r="H47" s="1183"/>
      <c r="I47" s="8"/>
      <c r="P47" s="10"/>
      <c r="Q47" s="10"/>
      <c r="R47" s="10"/>
      <c r="S47" s="11"/>
      <c r="T47" s="1187" t="s">
        <v>238</v>
      </c>
      <c r="U47" s="1186"/>
      <c r="V47" s="1182">
        <v>0</v>
      </c>
      <c r="W47" s="1183"/>
      <c r="X47" s="1186" t="s">
        <v>239</v>
      </c>
      <c r="Y47" s="1186"/>
      <c r="Z47" s="1182">
        <v>0</v>
      </c>
      <c r="AA47" s="1183"/>
      <c r="AB47" s="8"/>
      <c r="AI47" s="10"/>
      <c r="AJ47" s="10"/>
      <c r="AK47" s="10"/>
      <c r="AL47" s="11"/>
      <c r="AM47" s="1187" t="s">
        <v>238</v>
      </c>
      <c r="AN47" s="1186"/>
      <c r="AO47" s="1182">
        <v>0</v>
      </c>
      <c r="AP47" s="1183"/>
      <c r="AQ47" s="1186" t="s">
        <v>239</v>
      </c>
      <c r="AR47" s="1186"/>
      <c r="AS47" s="1182">
        <v>0</v>
      </c>
      <c r="AT47" s="1183"/>
      <c r="AU47" s="8"/>
      <c r="BB47" s="10"/>
      <c r="BC47" s="10"/>
      <c r="BD47" s="10"/>
      <c r="BE47" s="11"/>
      <c r="BF47" s="1187" t="s">
        <v>238</v>
      </c>
      <c r="BG47" s="1186"/>
      <c r="BH47" s="1182">
        <v>0</v>
      </c>
      <c r="BI47" s="1183"/>
      <c r="BJ47" s="1186" t="s">
        <v>239</v>
      </c>
      <c r="BK47" s="1186"/>
      <c r="BL47" s="1182">
        <v>0</v>
      </c>
      <c r="BM47" s="1183"/>
      <c r="BN47" s="8"/>
      <c r="BU47" s="10"/>
      <c r="BV47" s="10"/>
      <c r="BW47" s="10"/>
      <c r="BX47" s="11"/>
      <c r="BY47" s="1187" t="s">
        <v>238</v>
      </c>
      <c r="BZ47" s="1186"/>
      <c r="CA47" s="1182">
        <v>0</v>
      </c>
      <c r="CB47" s="1183"/>
      <c r="CC47" s="1186" t="s">
        <v>239</v>
      </c>
      <c r="CD47" s="1186"/>
      <c r="CE47" s="1182">
        <v>0</v>
      </c>
      <c r="CF47" s="1183"/>
      <c r="CG47" s="8"/>
      <c r="CH47" s="8"/>
      <c r="CI47" s="8"/>
      <c r="CJ47" s="8"/>
      <c r="CK47" s="8"/>
      <c r="CL47" s="8"/>
      <c r="CM47" s="8"/>
      <c r="CN47" s="10"/>
      <c r="CO47" s="10"/>
      <c r="CP47" s="10"/>
      <c r="CQ47" s="11"/>
    </row>
    <row r="48" spans="1:95">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567"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567"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567"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567"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667</v>
      </c>
      <c r="B49" s="10"/>
      <c r="C49" s="10"/>
      <c r="D49" s="10"/>
      <c r="E49" s="10"/>
      <c r="F49" s="10"/>
      <c r="G49" s="10"/>
      <c r="H49" s="10"/>
      <c r="I49" s="10"/>
      <c r="J49" s="10"/>
      <c r="K49" s="10"/>
      <c r="L49" s="10"/>
      <c r="M49" s="10"/>
      <c r="N49" s="10"/>
      <c r="O49" s="10"/>
      <c r="P49" s="10"/>
      <c r="Q49" s="10"/>
      <c r="R49" s="10"/>
      <c r="S49" s="11"/>
      <c r="T49" s="9" t="s">
        <v>667</v>
      </c>
      <c r="U49" s="10"/>
      <c r="V49" s="10"/>
      <c r="W49" s="10"/>
      <c r="X49" s="10"/>
      <c r="Y49" s="10"/>
      <c r="Z49" s="10"/>
      <c r="AA49" s="10"/>
      <c r="AB49" s="10"/>
      <c r="AC49" s="10"/>
      <c r="AD49" s="10"/>
      <c r="AE49" s="10"/>
      <c r="AF49" s="10"/>
      <c r="AG49" s="10"/>
      <c r="AH49" s="10"/>
      <c r="AI49" s="10"/>
      <c r="AJ49" s="10"/>
      <c r="AK49" s="10"/>
      <c r="AL49" s="11"/>
      <c r="AM49" s="9" t="s">
        <v>667</v>
      </c>
      <c r="AN49" s="10"/>
      <c r="AO49" s="10"/>
      <c r="AP49" s="10"/>
      <c r="AQ49" s="10"/>
      <c r="AR49" s="10"/>
      <c r="AS49" s="10"/>
      <c r="AT49" s="10"/>
      <c r="AU49" s="10"/>
      <c r="AV49" s="10"/>
      <c r="AW49" s="10"/>
      <c r="AX49" s="10"/>
      <c r="AY49" s="10"/>
      <c r="AZ49" s="10"/>
      <c r="BA49" s="10"/>
      <c r="BB49" s="10"/>
      <c r="BC49" s="10"/>
      <c r="BD49" s="10"/>
      <c r="BE49" s="11"/>
      <c r="BF49" s="9" t="s">
        <v>667</v>
      </c>
      <c r="BG49" s="10"/>
      <c r="BH49" s="10"/>
      <c r="BI49" s="10"/>
      <c r="BJ49" s="10"/>
      <c r="BK49" s="10"/>
      <c r="BL49" s="10"/>
      <c r="BM49" s="10"/>
      <c r="BN49" s="10"/>
      <c r="BO49" s="10"/>
      <c r="BP49" s="10"/>
      <c r="BQ49" s="10"/>
      <c r="BR49" s="10"/>
      <c r="BS49" s="10"/>
      <c r="BT49" s="10"/>
      <c r="BU49" s="10"/>
      <c r="BV49" s="10"/>
      <c r="BW49" s="10"/>
      <c r="BX49" s="11"/>
      <c r="BY49" s="9" t="s">
        <v>246</v>
      </c>
      <c r="BZ49" s="8"/>
      <c r="CA49" s="8"/>
      <c r="CB49" s="8"/>
      <c r="CC49" s="8"/>
      <c r="CD49" s="8"/>
      <c r="CE49" s="8"/>
      <c r="CF49" s="8"/>
      <c r="CG49" s="8"/>
      <c r="CH49" s="8"/>
      <c r="CI49" s="8"/>
      <c r="CJ49" s="8"/>
      <c r="CK49" s="8"/>
      <c r="CL49" s="8"/>
      <c r="CM49" s="8"/>
      <c r="CN49" s="8"/>
      <c r="CO49" s="8"/>
      <c r="CP49" s="8"/>
      <c r="CQ49" s="85"/>
    </row>
    <row r="50" spans="1:95" ht="15" customHeight="1">
      <c r="A50" s="1187" t="s">
        <v>242</v>
      </c>
      <c r="B50" s="1186"/>
      <c r="C50" s="1216">
        <v>0</v>
      </c>
      <c r="D50" s="1217"/>
      <c r="E50" s="8"/>
      <c r="F50" s="10"/>
      <c r="G50" s="10"/>
      <c r="H50" s="10"/>
      <c r="I50" s="10"/>
      <c r="J50" s="10"/>
      <c r="K50" s="10"/>
      <c r="L50" s="10"/>
      <c r="M50" s="10"/>
      <c r="N50" s="10"/>
      <c r="O50" s="10"/>
      <c r="P50" s="10"/>
      <c r="Q50" s="10"/>
      <c r="R50" s="10"/>
      <c r="S50" s="11"/>
      <c r="T50" s="1187" t="s">
        <v>242</v>
      </c>
      <c r="U50" s="1186"/>
      <c r="V50" s="1216">
        <v>0</v>
      </c>
      <c r="W50" s="1217"/>
      <c r="X50" s="8"/>
      <c r="Y50" s="10"/>
      <c r="Z50" s="10"/>
      <c r="AA50" s="10"/>
      <c r="AB50" s="10"/>
      <c r="AC50" s="10"/>
      <c r="AD50" s="10"/>
      <c r="AE50" s="10"/>
      <c r="AF50" s="10"/>
      <c r="AG50" s="10"/>
      <c r="AH50" s="10"/>
      <c r="AI50" s="10"/>
      <c r="AJ50" s="10"/>
      <c r="AK50" s="10"/>
      <c r="AL50" s="11"/>
      <c r="AM50" s="1187" t="s">
        <v>242</v>
      </c>
      <c r="AN50" s="1186"/>
      <c r="AO50" s="1216">
        <v>0</v>
      </c>
      <c r="AP50" s="1217"/>
      <c r="AQ50" s="8"/>
      <c r="AR50" s="10"/>
      <c r="AS50" s="10"/>
      <c r="AT50" s="10"/>
      <c r="AU50" s="10"/>
      <c r="AV50" s="10"/>
      <c r="AW50" s="10"/>
      <c r="AX50" s="10"/>
      <c r="AY50" s="10"/>
      <c r="AZ50" s="10"/>
      <c r="BA50" s="10"/>
      <c r="BB50" s="10"/>
      <c r="BC50" s="10"/>
      <c r="BD50" s="10"/>
      <c r="BE50" s="11"/>
      <c r="BF50" s="1187" t="s">
        <v>242</v>
      </c>
      <c r="BG50" s="1186"/>
      <c r="BH50" s="1216">
        <v>0</v>
      </c>
      <c r="BI50" s="1217"/>
      <c r="BJ50" s="8"/>
      <c r="BK50" s="10"/>
      <c r="BL50" s="10"/>
      <c r="BM50" s="10"/>
      <c r="BN50" s="10"/>
      <c r="BO50" s="10"/>
      <c r="BP50" s="10"/>
      <c r="BQ50" s="10"/>
      <c r="BR50" s="10"/>
      <c r="BS50" s="10"/>
      <c r="BT50" s="10"/>
      <c r="BU50" s="10"/>
      <c r="BV50" s="10"/>
      <c r="BW50" s="10"/>
      <c r="BX50" s="11"/>
      <c r="BY50" s="9"/>
      <c r="BZ50" s="87" t="s">
        <v>249</v>
      </c>
      <c r="CA50" s="1176">
        <f>C53</f>
        <v>200</v>
      </c>
      <c r="CB50" s="1177"/>
      <c r="CC50" s="8" t="s">
        <v>250</v>
      </c>
      <c r="CD50" s="8"/>
      <c r="CE50" s="8"/>
      <c r="CF50" s="8"/>
      <c r="CG50" s="8"/>
      <c r="CH50" s="8"/>
      <c r="CI50" s="8"/>
      <c r="CJ50" s="8"/>
      <c r="CK50" s="87" t="s">
        <v>251</v>
      </c>
      <c r="CL50" s="1174">
        <f>CA51*(1/64)*PI()*(CA52^4-CA53^4)*200000</f>
        <v>1744439000.4490404</v>
      </c>
      <c r="CM50" s="1175"/>
      <c r="CN50" s="612">
        <f>CL50*48/CA50^3</f>
        <v>10466.634002694242</v>
      </c>
      <c r="CO50" s="8"/>
      <c r="CP50" s="8"/>
      <c r="CQ50" s="85"/>
    </row>
    <row r="51" spans="1:95" ht="14.25">
      <c r="A51" s="12"/>
      <c r="B51" s="10"/>
      <c r="C51" s="1511"/>
      <c r="D51" s="1511"/>
      <c r="E51" s="10"/>
      <c r="F51" s="10"/>
      <c r="G51" s="10"/>
      <c r="H51" s="10"/>
      <c r="I51" s="10"/>
      <c r="J51" s="10"/>
      <c r="K51" s="10"/>
      <c r="L51" s="10"/>
      <c r="M51" s="10"/>
      <c r="N51" s="10"/>
      <c r="O51" s="10"/>
      <c r="P51" s="10"/>
      <c r="Q51" s="10"/>
      <c r="R51" s="10"/>
      <c r="S51" s="11"/>
      <c r="T51" s="12"/>
      <c r="U51" s="10"/>
      <c r="V51" s="1511"/>
      <c r="W51" s="1511"/>
      <c r="X51" s="10"/>
      <c r="Y51" s="10"/>
      <c r="Z51" s="10"/>
      <c r="AA51" s="10"/>
      <c r="AB51" s="10"/>
      <c r="AC51" s="10"/>
      <c r="AD51" s="10"/>
      <c r="AE51" s="10"/>
      <c r="AF51" s="10"/>
      <c r="AG51" s="10"/>
      <c r="AH51" s="10"/>
      <c r="AI51" s="10"/>
      <c r="AJ51" s="10"/>
      <c r="AK51" s="10"/>
      <c r="AL51" s="11"/>
      <c r="AM51" s="12"/>
      <c r="AN51" s="10"/>
      <c r="AO51" s="1511"/>
      <c r="AP51" s="1511"/>
      <c r="AQ51" s="10"/>
      <c r="AR51" s="10"/>
      <c r="AS51" s="10"/>
      <c r="AT51" s="10"/>
      <c r="AU51" s="10"/>
      <c r="AV51" s="10"/>
      <c r="AW51" s="10"/>
      <c r="AX51" s="10"/>
      <c r="AY51" s="10"/>
      <c r="AZ51" s="10"/>
      <c r="BA51" s="10"/>
      <c r="BB51" s="10"/>
      <c r="BC51" s="10"/>
      <c r="BD51" s="10"/>
      <c r="BE51" s="11"/>
      <c r="BF51" s="12"/>
      <c r="BG51" s="10"/>
      <c r="BH51" s="1511"/>
      <c r="BI51" s="1511"/>
      <c r="BJ51" s="10"/>
      <c r="BK51" s="10"/>
      <c r="BL51" s="10"/>
      <c r="BM51" s="10"/>
      <c r="BN51" s="10"/>
      <c r="BO51" s="10"/>
      <c r="BP51" s="10"/>
      <c r="BQ51" s="10"/>
      <c r="BR51" s="10"/>
      <c r="BS51" s="10"/>
      <c r="BT51" s="10"/>
      <c r="BU51" s="10"/>
      <c r="BV51" s="10"/>
      <c r="BW51" s="10"/>
      <c r="BX51" s="11"/>
      <c r="BY51" s="9"/>
      <c r="BZ51" s="87" t="s">
        <v>252</v>
      </c>
      <c r="CA51" s="1172">
        <v>1</v>
      </c>
      <c r="CB51" s="1173"/>
      <c r="CC51" s="8" t="s">
        <v>253</v>
      </c>
      <c r="CD51" s="8"/>
      <c r="CE51" s="8"/>
      <c r="CF51" s="8"/>
      <c r="CG51" s="8"/>
      <c r="CH51" s="8"/>
      <c r="CI51" s="8"/>
      <c r="CJ51" s="8"/>
      <c r="CK51" s="87" t="s">
        <v>254</v>
      </c>
      <c r="CL51" s="1174">
        <f>IF(CL46&gt;0,(CL46*CA50^3)/48,CL50)</f>
        <v>1744439000.4490404</v>
      </c>
      <c r="CM51" s="1175"/>
      <c r="CN51" s="612">
        <f>CL51*48/CA50^3</f>
        <v>10466.634002694242</v>
      </c>
      <c r="CO51" s="8"/>
      <c r="CP51" s="8"/>
      <c r="CQ51" s="85"/>
    </row>
    <row r="52" spans="1:95" ht="15.4">
      <c r="A52" s="86" t="s">
        <v>256</v>
      </c>
      <c r="B52" s="10"/>
      <c r="C52" s="10"/>
      <c r="D52" s="10"/>
      <c r="E52" s="10"/>
      <c r="F52" s="10"/>
      <c r="G52" s="10"/>
      <c r="H52" s="10"/>
      <c r="I52" s="10"/>
      <c r="J52" s="10"/>
      <c r="K52" s="10"/>
      <c r="L52" s="10"/>
      <c r="M52" s="10"/>
      <c r="N52" s="10"/>
      <c r="O52" s="10"/>
      <c r="P52" s="10"/>
      <c r="Q52" s="10"/>
      <c r="R52" s="10"/>
      <c r="S52" s="11"/>
      <c r="T52" s="86" t="s">
        <v>256</v>
      </c>
      <c r="U52" s="10"/>
      <c r="V52" s="10"/>
      <c r="W52" s="10"/>
      <c r="X52" s="10"/>
      <c r="Y52" s="10"/>
      <c r="Z52" s="10"/>
      <c r="AA52" s="10"/>
      <c r="AB52" s="10"/>
      <c r="AC52" s="10"/>
      <c r="AD52" s="10"/>
      <c r="AE52" s="10"/>
      <c r="AF52" s="10"/>
      <c r="AG52" s="10"/>
      <c r="AH52" s="10"/>
      <c r="AI52" s="10"/>
      <c r="AJ52" s="10"/>
      <c r="AK52" s="10"/>
      <c r="AL52" s="11"/>
      <c r="AM52" s="86" t="s">
        <v>256</v>
      </c>
      <c r="AN52" s="10"/>
      <c r="AO52" s="10"/>
      <c r="AP52" s="10"/>
      <c r="AQ52" s="10"/>
      <c r="AR52" s="10"/>
      <c r="AS52" s="10"/>
      <c r="AT52" s="10"/>
      <c r="AU52" s="10"/>
      <c r="AV52" s="10"/>
      <c r="AW52" s="10"/>
      <c r="AX52" s="10"/>
      <c r="AY52" s="10"/>
      <c r="AZ52" s="10"/>
      <c r="BA52" s="10"/>
      <c r="BB52" s="10"/>
      <c r="BC52" s="10"/>
      <c r="BD52" s="10"/>
      <c r="BE52" s="11"/>
      <c r="BF52" s="86" t="s">
        <v>256</v>
      </c>
      <c r="BG52" s="10"/>
      <c r="BH52" s="10"/>
      <c r="BI52" s="10"/>
      <c r="BJ52" s="10"/>
      <c r="BK52" s="10"/>
      <c r="BL52" s="10"/>
      <c r="BM52" s="10"/>
      <c r="BN52" s="10"/>
      <c r="BO52" s="10"/>
      <c r="BP52" s="10"/>
      <c r="BQ52" s="10"/>
      <c r="BR52" s="10"/>
      <c r="BS52" s="10"/>
      <c r="BT52" s="10"/>
      <c r="BU52" s="10"/>
      <c r="BV52" s="10"/>
      <c r="BW52" s="10"/>
      <c r="BX52" s="11"/>
      <c r="BY52" s="9"/>
      <c r="BZ52" s="87" t="s">
        <v>257</v>
      </c>
      <c r="CA52" s="1172">
        <v>25.4</v>
      </c>
      <c r="CB52" s="1173"/>
      <c r="CC52" s="8" t="s">
        <v>258</v>
      </c>
      <c r="CD52" s="8"/>
      <c r="CE52" s="8"/>
      <c r="CF52" s="8"/>
      <c r="CG52" s="8"/>
      <c r="CH52" s="8"/>
      <c r="CI52" s="8"/>
      <c r="CJ52" s="8"/>
      <c r="CK52" s="87" t="s">
        <v>259</v>
      </c>
      <c r="CL52" s="1178">
        <f>IF(CL51&gt;=CL50,0,(CN51^-1-CN50^-1)^-1)</f>
        <v>0</v>
      </c>
      <c r="CM52" s="1179"/>
      <c r="CN52" s="8"/>
      <c r="CO52" s="8"/>
      <c r="CP52" s="8"/>
      <c r="CQ52" s="85"/>
    </row>
    <row r="53" spans="1:95" ht="12.75" customHeight="1">
      <c r="A53" s="9"/>
      <c r="B53" s="88" t="s">
        <v>249</v>
      </c>
      <c r="C53" s="1512">
        <v>200</v>
      </c>
      <c r="D53" s="1513"/>
      <c r="E53" s="8" t="s">
        <v>260</v>
      </c>
      <c r="F53" s="10"/>
      <c r="G53" s="10"/>
      <c r="H53" s="10"/>
      <c r="I53" s="10"/>
      <c r="J53" s="10"/>
      <c r="K53" s="10"/>
      <c r="L53" s="10"/>
      <c r="M53" s="10"/>
      <c r="N53" s="10"/>
      <c r="O53" s="10"/>
      <c r="P53" s="10"/>
      <c r="Q53" s="10"/>
      <c r="R53" s="10"/>
      <c r="S53" s="11"/>
      <c r="T53" s="9"/>
      <c r="U53" s="88" t="s">
        <v>249</v>
      </c>
      <c r="V53" s="1512">
        <v>200</v>
      </c>
      <c r="W53" s="1513"/>
      <c r="X53" s="8" t="s">
        <v>260</v>
      </c>
      <c r="Y53" s="10"/>
      <c r="Z53" s="10"/>
      <c r="AA53" s="10"/>
      <c r="AB53" s="10"/>
      <c r="AC53" s="10"/>
      <c r="AD53" s="10"/>
      <c r="AE53" s="10"/>
      <c r="AF53" s="10"/>
      <c r="AG53" s="10"/>
      <c r="AH53" s="10"/>
      <c r="AI53" s="10"/>
      <c r="AJ53" s="10"/>
      <c r="AK53" s="10"/>
      <c r="AL53" s="11"/>
      <c r="AM53" s="9"/>
      <c r="AN53" s="88" t="s">
        <v>249</v>
      </c>
      <c r="AO53" s="1512">
        <v>200</v>
      </c>
      <c r="AP53" s="1513"/>
      <c r="AQ53" s="8" t="s">
        <v>260</v>
      </c>
      <c r="AR53" s="10"/>
      <c r="AS53" s="10"/>
      <c r="AT53" s="10"/>
      <c r="AU53" s="10"/>
      <c r="AV53" s="10"/>
      <c r="AW53" s="10"/>
      <c r="AX53" s="10"/>
      <c r="AY53" s="10"/>
      <c r="AZ53" s="10"/>
      <c r="BA53" s="10"/>
      <c r="BB53" s="10"/>
      <c r="BC53" s="10"/>
      <c r="BD53" s="10"/>
      <c r="BE53" s="11"/>
      <c r="BF53" s="9"/>
      <c r="BG53" s="88" t="s">
        <v>249</v>
      </c>
      <c r="BH53" s="1512">
        <v>200</v>
      </c>
      <c r="BI53" s="1513"/>
      <c r="BJ53" s="8" t="s">
        <v>260</v>
      </c>
      <c r="BK53" s="10"/>
      <c r="BL53" s="10"/>
      <c r="BM53" s="10"/>
      <c r="BN53" s="10"/>
      <c r="BO53" s="10"/>
      <c r="BP53" s="10"/>
      <c r="BQ53" s="10"/>
      <c r="BR53" s="10"/>
      <c r="BS53" s="10"/>
      <c r="BT53" s="10"/>
      <c r="BU53" s="10"/>
      <c r="BV53" s="10"/>
      <c r="BW53" s="10"/>
      <c r="BX53" s="11"/>
      <c r="BY53" s="9"/>
      <c r="BZ53" s="87" t="s">
        <v>261</v>
      </c>
      <c r="CA53" s="1172">
        <v>22.1</v>
      </c>
      <c r="CB53" s="1173"/>
      <c r="CC53" s="8" t="s">
        <v>262</v>
      </c>
      <c r="CD53" s="8"/>
      <c r="CE53" s="8"/>
      <c r="CF53" s="8"/>
      <c r="CG53" s="8"/>
      <c r="CH53" s="8"/>
      <c r="CI53" s="8"/>
      <c r="CJ53" s="8"/>
      <c r="CK53" s="8"/>
      <c r="CL53" s="8"/>
      <c r="CM53" s="8"/>
      <c r="CN53" s="8"/>
      <c r="CO53" s="8"/>
      <c r="CP53" s="8"/>
      <c r="CQ53" s="85"/>
    </row>
    <row r="54" spans="1:95">
      <c r="A54" s="1203" t="s">
        <v>263</v>
      </c>
      <c r="B54" s="1204"/>
      <c r="C54" s="1225">
        <v>150</v>
      </c>
      <c r="D54" s="1226"/>
      <c r="E54" s="8" t="s">
        <v>69</v>
      </c>
      <c r="F54" s="10"/>
      <c r="G54" s="10"/>
      <c r="H54" s="10"/>
      <c r="I54" s="10"/>
      <c r="J54" s="10"/>
      <c r="K54" s="10"/>
      <c r="L54" s="10"/>
      <c r="M54" s="10"/>
      <c r="N54" s="10"/>
      <c r="O54" s="10"/>
      <c r="P54" s="10"/>
      <c r="Q54" s="10"/>
      <c r="R54" s="10"/>
      <c r="S54" s="11"/>
      <c r="T54" s="1203" t="s">
        <v>263</v>
      </c>
      <c r="U54" s="1204"/>
      <c r="V54" s="1225">
        <v>150</v>
      </c>
      <c r="W54" s="1226"/>
      <c r="X54" s="8" t="s">
        <v>69</v>
      </c>
      <c r="Y54" s="10"/>
      <c r="Z54" s="10"/>
      <c r="AA54" s="10"/>
      <c r="AB54" s="10"/>
      <c r="AC54" s="10"/>
      <c r="AD54" s="10"/>
      <c r="AE54" s="10"/>
      <c r="AF54" s="10"/>
      <c r="AG54" s="10"/>
      <c r="AH54" s="10"/>
      <c r="AI54" s="10"/>
      <c r="AJ54" s="10"/>
      <c r="AK54" s="10"/>
      <c r="AL54" s="11"/>
      <c r="AM54" s="1203" t="s">
        <v>263</v>
      </c>
      <c r="AN54" s="1204"/>
      <c r="AO54" s="1225">
        <v>150</v>
      </c>
      <c r="AP54" s="1226"/>
      <c r="AQ54" s="8" t="s">
        <v>69</v>
      </c>
      <c r="AR54" s="10"/>
      <c r="AS54" s="10"/>
      <c r="AT54" s="10"/>
      <c r="AU54" s="10"/>
      <c r="AV54" s="10"/>
      <c r="AW54" s="10"/>
      <c r="AX54" s="10"/>
      <c r="AY54" s="10"/>
      <c r="AZ54" s="10"/>
      <c r="BA54" s="10"/>
      <c r="BB54" s="10"/>
      <c r="BC54" s="10"/>
      <c r="BD54" s="10"/>
      <c r="BE54" s="11"/>
      <c r="BF54" s="1203" t="s">
        <v>263</v>
      </c>
      <c r="BG54" s="1204"/>
      <c r="BH54" s="1225">
        <v>150</v>
      </c>
      <c r="BI54" s="1226"/>
      <c r="BJ54" s="8" t="s">
        <v>69</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203" t="s">
        <v>265</v>
      </c>
      <c r="B55" s="1204"/>
      <c r="C55" s="1172">
        <v>0</v>
      </c>
      <c r="D55" s="1173"/>
      <c r="E55" s="8" t="s">
        <v>266</v>
      </c>
      <c r="F55" s="8"/>
      <c r="G55" s="8"/>
      <c r="H55" s="8"/>
      <c r="I55" s="8"/>
      <c r="J55" s="8"/>
      <c r="K55" s="8"/>
      <c r="L55" s="8"/>
      <c r="M55" s="8"/>
      <c r="N55" s="8"/>
      <c r="O55" s="10"/>
      <c r="P55" s="10"/>
      <c r="Q55" s="10"/>
      <c r="R55" s="10"/>
      <c r="S55" s="11"/>
      <c r="T55" s="1203" t="s">
        <v>265</v>
      </c>
      <c r="U55" s="1204"/>
      <c r="V55" s="1172">
        <v>0</v>
      </c>
      <c r="W55" s="1173"/>
      <c r="X55" s="8" t="s">
        <v>266</v>
      </c>
      <c r="Y55" s="8"/>
      <c r="Z55" s="8"/>
      <c r="AA55" s="8"/>
      <c r="AB55" s="8"/>
      <c r="AC55" s="8"/>
      <c r="AD55" s="8"/>
      <c r="AE55" s="8"/>
      <c r="AF55" s="8"/>
      <c r="AG55" s="8"/>
      <c r="AH55" s="10"/>
      <c r="AI55" s="10"/>
      <c r="AJ55" s="10"/>
      <c r="AK55" s="10"/>
      <c r="AL55" s="11"/>
      <c r="AM55" s="1203" t="s">
        <v>265</v>
      </c>
      <c r="AN55" s="1204"/>
      <c r="AO55" s="1172">
        <v>0</v>
      </c>
      <c r="AP55" s="1173"/>
      <c r="AQ55" s="8" t="s">
        <v>266</v>
      </c>
      <c r="AR55" s="8"/>
      <c r="AS55" s="8"/>
      <c r="AT55" s="8"/>
      <c r="AU55" s="8"/>
      <c r="AV55" s="8"/>
      <c r="AW55" s="8"/>
      <c r="AX55" s="8"/>
      <c r="AY55" s="8"/>
      <c r="AZ55" s="8"/>
      <c r="BA55" s="10"/>
      <c r="BB55" s="10"/>
      <c r="BC55" s="10"/>
      <c r="BD55" s="10"/>
      <c r="BE55" s="11"/>
      <c r="BF55" s="1203" t="s">
        <v>265</v>
      </c>
      <c r="BG55" s="1204"/>
      <c r="BH55" s="1172">
        <v>0</v>
      </c>
      <c r="BI55" s="1173"/>
      <c r="BJ55" s="8" t="s">
        <v>266</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203" t="s">
        <v>267</v>
      </c>
      <c r="B56" s="1204"/>
      <c r="C56" s="1172">
        <v>1</v>
      </c>
      <c r="D56" s="1173"/>
      <c r="E56" s="8" t="s">
        <v>67</v>
      </c>
      <c r="F56" s="8"/>
      <c r="G56" s="8"/>
      <c r="H56" s="8"/>
      <c r="I56" s="8"/>
      <c r="J56" s="361" t="str">
        <f>IF(C56&lt;0.4*C57,"Asymmetrical lay-up: skin too thin in comparison, see T3.4.4.","")</f>
        <v/>
      </c>
      <c r="K56" s="8"/>
      <c r="L56" s="8"/>
      <c r="M56" s="8"/>
      <c r="N56" s="8"/>
      <c r="O56" s="10"/>
      <c r="P56" s="10"/>
      <c r="Q56" s="10"/>
      <c r="R56" s="10"/>
      <c r="S56" s="11"/>
      <c r="T56" s="1203" t="s">
        <v>267</v>
      </c>
      <c r="U56" s="1204"/>
      <c r="V56" s="1172">
        <v>1</v>
      </c>
      <c r="W56" s="1173"/>
      <c r="X56" s="8" t="s">
        <v>67</v>
      </c>
      <c r="Y56" s="8"/>
      <c r="Z56" s="8"/>
      <c r="AA56" s="8"/>
      <c r="AB56" s="8"/>
      <c r="AC56" s="361" t="str">
        <f>IF(V56&lt;0.4*V57,"Asymmetrical lay-up: skin too thin in comparison, see T3.4.4.","")</f>
        <v/>
      </c>
      <c r="AD56" s="8"/>
      <c r="AE56" s="8"/>
      <c r="AF56" s="8"/>
      <c r="AG56" s="8"/>
      <c r="AH56" s="10"/>
      <c r="AI56" s="10"/>
      <c r="AJ56" s="10"/>
      <c r="AK56" s="10"/>
      <c r="AL56" s="11"/>
      <c r="AM56" s="1203" t="s">
        <v>267</v>
      </c>
      <c r="AN56" s="1204"/>
      <c r="AO56" s="1172">
        <v>1</v>
      </c>
      <c r="AP56" s="1173"/>
      <c r="AQ56" s="8" t="s">
        <v>67</v>
      </c>
      <c r="AR56" s="8"/>
      <c r="AS56" s="8"/>
      <c r="AT56" s="8"/>
      <c r="AU56" s="8"/>
      <c r="AV56" s="361" t="str">
        <f>IF(AO56&lt;0.4*AO57,"Asymmetrical lay-up: skin too thin in comparison, see T3.4.4.","")</f>
        <v/>
      </c>
      <c r="AW56" s="8"/>
      <c r="AX56" s="8"/>
      <c r="AY56" s="8"/>
      <c r="AZ56" s="8"/>
      <c r="BA56" s="10"/>
      <c r="BB56" s="10"/>
      <c r="BC56" s="10"/>
      <c r="BD56" s="10"/>
      <c r="BE56" s="11"/>
      <c r="BF56" s="1203" t="s">
        <v>267</v>
      </c>
      <c r="BG56" s="1204"/>
      <c r="BH56" s="1172">
        <v>1</v>
      </c>
      <c r="BI56" s="1173"/>
      <c r="BJ56" s="8" t="s">
        <v>67</v>
      </c>
      <c r="BK56" s="8"/>
      <c r="BL56" s="8"/>
      <c r="BM56" s="8"/>
      <c r="BN56" s="8"/>
      <c r="BO56" s="361" t="str">
        <f>IF(BH56&lt;0.4*BH57,"Asymmetrical lay-up: skin too thin in comparison, see T3.4.4.","")</f>
        <v/>
      </c>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203" t="s">
        <v>268</v>
      </c>
      <c r="B57" s="1204"/>
      <c r="C57" s="1172">
        <v>1</v>
      </c>
      <c r="D57" s="1173"/>
      <c r="E57" s="8" t="s">
        <v>68</v>
      </c>
      <c r="F57" s="8"/>
      <c r="G57" s="8"/>
      <c r="H57" s="8"/>
      <c r="I57" s="8"/>
      <c r="J57" s="361" t="str">
        <f>IF(C57&lt;0.4*C56,"Asymmetrical lay-up: skin too thin in comparison, see T3.4.4.","")</f>
        <v/>
      </c>
      <c r="K57" s="8"/>
      <c r="L57" s="8"/>
      <c r="M57" s="8"/>
      <c r="N57" s="8"/>
      <c r="O57" s="10"/>
      <c r="P57" s="10"/>
      <c r="Q57" s="10"/>
      <c r="R57" s="10"/>
      <c r="S57" s="11"/>
      <c r="T57" s="1203" t="s">
        <v>268</v>
      </c>
      <c r="U57" s="1204"/>
      <c r="V57" s="1172">
        <v>1</v>
      </c>
      <c r="W57" s="1173"/>
      <c r="X57" s="8" t="s">
        <v>68</v>
      </c>
      <c r="Y57" s="8"/>
      <c r="Z57" s="8"/>
      <c r="AA57" s="8"/>
      <c r="AB57" s="8"/>
      <c r="AC57" s="361" t="str">
        <f>IF(V57&lt;0.4*V56,"Asymmetrical lay-up: skin too thin in comparison, see T3.4.4.","")</f>
        <v/>
      </c>
      <c r="AD57" s="8"/>
      <c r="AE57" s="8"/>
      <c r="AF57" s="8"/>
      <c r="AG57" s="8"/>
      <c r="AH57" s="10"/>
      <c r="AI57" s="10"/>
      <c r="AJ57" s="10"/>
      <c r="AK57" s="10"/>
      <c r="AL57" s="11"/>
      <c r="AM57" s="1203" t="s">
        <v>268</v>
      </c>
      <c r="AN57" s="1204"/>
      <c r="AO57" s="1172">
        <v>1</v>
      </c>
      <c r="AP57" s="1173"/>
      <c r="AQ57" s="8" t="s">
        <v>68</v>
      </c>
      <c r="AR57" s="8"/>
      <c r="AS57" s="8"/>
      <c r="AT57" s="8"/>
      <c r="AU57" s="8"/>
      <c r="AV57" s="361" t="str">
        <f>IF(AO57&lt;0.4*AO56,"Asymmetrical lay-up: skin too thin in comparison, see T3.4.4.","")</f>
        <v/>
      </c>
      <c r="AW57" s="8"/>
      <c r="AX57" s="8"/>
      <c r="AY57" s="8"/>
      <c r="AZ57" s="8"/>
      <c r="BA57" s="10"/>
      <c r="BB57" s="10"/>
      <c r="BC57" s="10"/>
      <c r="BD57" s="10"/>
      <c r="BE57" s="11"/>
      <c r="BF57" s="1203" t="s">
        <v>268</v>
      </c>
      <c r="BG57" s="1204"/>
      <c r="BH57" s="1172">
        <v>1</v>
      </c>
      <c r="BI57" s="1173"/>
      <c r="BJ57" s="8" t="s">
        <v>68</v>
      </c>
      <c r="BK57" s="8"/>
      <c r="BL57" s="8"/>
      <c r="BM57" s="8"/>
      <c r="BN57" s="8"/>
      <c r="BO57" s="361" t="str">
        <f>IF(BH57&lt;0.4*BH56,"Asymmetrical lay-up: skin too thin in comparison, see T3.4.4.","")</f>
        <v/>
      </c>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25">
      <c r="A58" s="90"/>
      <c r="B58" s="87" t="s">
        <v>269</v>
      </c>
      <c r="C58" s="1192">
        <f>(C54*(((C55+C56+C57)^3)-(C55^3)))/12</f>
        <v>100</v>
      </c>
      <c r="D58" s="1193"/>
      <c r="E58" s="8" t="s">
        <v>270</v>
      </c>
      <c r="F58" s="8"/>
      <c r="G58" s="8"/>
      <c r="H58" s="8"/>
      <c r="I58" s="8"/>
      <c r="J58" s="8"/>
      <c r="K58" s="8"/>
      <c r="L58" s="8"/>
      <c r="M58" s="8"/>
      <c r="N58" s="8"/>
      <c r="O58" s="10"/>
      <c r="P58" s="10"/>
      <c r="Q58" s="10"/>
      <c r="R58" s="10"/>
      <c r="S58" s="11"/>
      <c r="T58" s="90"/>
      <c r="U58" s="87" t="s">
        <v>269</v>
      </c>
      <c r="V58" s="1192">
        <f>(V54*(((V55+V56+V57)^3)-(V55^3)))/12</f>
        <v>100</v>
      </c>
      <c r="W58" s="1193"/>
      <c r="X58" s="8" t="s">
        <v>270</v>
      </c>
      <c r="Y58" s="8"/>
      <c r="Z58" s="8"/>
      <c r="AA58" s="8"/>
      <c r="AB58" s="8"/>
      <c r="AC58" s="8"/>
      <c r="AD58" s="8"/>
      <c r="AE58" s="8"/>
      <c r="AF58" s="8"/>
      <c r="AG58" s="8"/>
      <c r="AH58" s="10"/>
      <c r="AI58" s="10"/>
      <c r="AJ58" s="10"/>
      <c r="AK58" s="10"/>
      <c r="AL58" s="11"/>
      <c r="AM58" s="90"/>
      <c r="AN58" s="87" t="s">
        <v>269</v>
      </c>
      <c r="AO58" s="1192">
        <f>(AO54*(((AO55+AO56+AO57)^3)-(AO55^3)))/12</f>
        <v>100</v>
      </c>
      <c r="AP58" s="1193"/>
      <c r="AQ58" s="8" t="s">
        <v>270</v>
      </c>
      <c r="AR58" s="8"/>
      <c r="AS58" s="8"/>
      <c r="AT58" s="8"/>
      <c r="AU58" s="8"/>
      <c r="AV58" s="8"/>
      <c r="AW58" s="8"/>
      <c r="AX58" s="8"/>
      <c r="AY58" s="8"/>
      <c r="AZ58" s="8"/>
      <c r="BA58" s="10"/>
      <c r="BB58" s="10"/>
      <c r="BC58" s="10"/>
      <c r="BD58" s="10"/>
      <c r="BE58" s="11"/>
      <c r="BF58" s="90"/>
      <c r="BG58" s="87" t="s">
        <v>269</v>
      </c>
      <c r="BH58" s="1192">
        <f>(BH54*(((BH55+BH56+BH57)^3)-(BH55^3)))/12</f>
        <v>100</v>
      </c>
      <c r="BI58" s="1193"/>
      <c r="BJ58" s="8" t="s">
        <v>270</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271</v>
      </c>
      <c r="C59" s="1188">
        <f>IF(C47&gt;0,0.001*((N46*(C47-C46)*C53^3)/(48*C58*(C47-C46))),0)</f>
        <v>0</v>
      </c>
      <c r="D59" s="1189"/>
      <c r="E59" s="8" t="s">
        <v>272</v>
      </c>
      <c r="F59" s="10"/>
      <c r="G59" s="10"/>
      <c r="H59" s="10"/>
      <c r="I59" s="10"/>
      <c r="J59" s="10"/>
      <c r="K59" s="10"/>
      <c r="L59" s="10"/>
      <c r="M59" s="10"/>
      <c r="N59" s="10"/>
      <c r="O59" s="10"/>
      <c r="P59" s="10"/>
      <c r="Q59" s="10"/>
      <c r="R59" s="10"/>
      <c r="S59" s="11"/>
      <c r="T59" s="12"/>
      <c r="U59" s="87" t="s">
        <v>271</v>
      </c>
      <c r="V59" s="1188">
        <f>IF(V47&gt;0,0.001*((AG46*(V47-V46)*V53^3)/(48*V58*(V47-V46))),0)</f>
        <v>0</v>
      </c>
      <c r="W59" s="1189"/>
      <c r="X59" s="8" t="s">
        <v>272</v>
      </c>
      <c r="Y59" s="10"/>
      <c r="Z59" s="10"/>
      <c r="AA59" s="10"/>
      <c r="AB59" s="10"/>
      <c r="AC59" s="10"/>
      <c r="AD59" s="10"/>
      <c r="AE59" s="10"/>
      <c r="AF59" s="10"/>
      <c r="AG59" s="10"/>
      <c r="AH59" s="10"/>
      <c r="AI59" s="10"/>
      <c r="AJ59" s="10"/>
      <c r="AK59" s="10"/>
      <c r="AL59" s="11"/>
      <c r="AM59" s="12"/>
      <c r="AN59" s="87" t="s">
        <v>271</v>
      </c>
      <c r="AO59" s="1188">
        <f>IF(AO47&gt;0,0.001*((AZ46*(AO47-AO46)*AO53^3)/(48*AO58*(AO47-AO46))),0)</f>
        <v>0</v>
      </c>
      <c r="AP59" s="1189"/>
      <c r="AQ59" s="8" t="s">
        <v>272</v>
      </c>
      <c r="AR59" s="10"/>
      <c r="AS59" s="10"/>
      <c r="AT59" s="10"/>
      <c r="AU59" s="10"/>
      <c r="AV59" s="10"/>
      <c r="AW59" s="10"/>
      <c r="AX59" s="10"/>
      <c r="AY59" s="10"/>
      <c r="AZ59" s="10"/>
      <c r="BA59" s="10"/>
      <c r="BB59" s="10"/>
      <c r="BC59" s="10"/>
      <c r="BD59" s="10"/>
      <c r="BE59" s="11"/>
      <c r="BF59" s="12"/>
      <c r="BG59" s="87" t="s">
        <v>271</v>
      </c>
      <c r="BH59" s="1188">
        <f>IF(BH47&gt;0,0.001*((BS46*(BH47-BH46)*BH53^3)/(48*BH58*(BH47-BH46))),0)</f>
        <v>0</v>
      </c>
      <c r="BI59" s="1189"/>
      <c r="BJ59" s="8" t="s">
        <v>272</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ht="13.15">
      <c r="A60" s="91"/>
      <c r="B60" s="92" t="s">
        <v>273</v>
      </c>
      <c r="C60" s="1190">
        <f>C50*C53*0.5*SUM(C55:D57)/(4*C58)</f>
        <v>0</v>
      </c>
      <c r="D60" s="1191"/>
      <c r="E60" s="93" t="s">
        <v>274</v>
      </c>
      <c r="F60" s="94"/>
      <c r="G60" s="94"/>
      <c r="H60" s="94"/>
      <c r="I60" s="94"/>
      <c r="J60" s="94"/>
      <c r="K60" s="94"/>
      <c r="L60" s="94"/>
      <c r="M60" s="94"/>
      <c r="N60" s="94"/>
      <c r="O60" s="94"/>
      <c r="P60" s="94"/>
      <c r="Q60" s="94"/>
      <c r="R60" s="94"/>
      <c r="S60" s="95"/>
      <c r="T60" s="91"/>
      <c r="U60" s="92" t="s">
        <v>273</v>
      </c>
      <c r="V60" s="1190">
        <f>V50*V53*0.5*SUM(V55:W57)/(4*V58)</f>
        <v>0</v>
      </c>
      <c r="W60" s="1191"/>
      <c r="X60" s="93" t="s">
        <v>274</v>
      </c>
      <c r="Y60" s="94"/>
      <c r="Z60" s="94"/>
      <c r="AA60" s="94"/>
      <c r="AB60" s="94"/>
      <c r="AC60" s="94"/>
      <c r="AD60" s="94"/>
      <c r="AE60" s="94"/>
      <c r="AF60" s="94"/>
      <c r="AG60" s="94"/>
      <c r="AH60" s="94"/>
      <c r="AI60" s="94"/>
      <c r="AJ60" s="94"/>
      <c r="AK60" s="94"/>
      <c r="AL60" s="95"/>
      <c r="AM60" s="91"/>
      <c r="AN60" s="92" t="s">
        <v>273</v>
      </c>
      <c r="AO60" s="1190">
        <f>AO50*AO53*0.5*SUM(AO55:AP57)/(4*AO58)</f>
        <v>0</v>
      </c>
      <c r="AP60" s="1191"/>
      <c r="AQ60" s="93" t="s">
        <v>274</v>
      </c>
      <c r="AR60" s="94"/>
      <c r="AS60" s="94"/>
      <c r="AT60" s="94"/>
      <c r="AU60" s="94"/>
      <c r="AV60" s="94"/>
      <c r="AW60" s="94"/>
      <c r="AX60" s="94"/>
      <c r="AY60" s="94"/>
      <c r="AZ60" s="94"/>
      <c r="BA60" s="94"/>
      <c r="BB60" s="94"/>
      <c r="BC60" s="94"/>
      <c r="BD60" s="94"/>
      <c r="BE60" s="95"/>
      <c r="BF60" s="91"/>
      <c r="BG60" s="92" t="s">
        <v>273</v>
      </c>
      <c r="BH60" s="1190">
        <f>BH50*BH53*0.5*SUM(BH55:BI57)/(4*BH58)</f>
        <v>0</v>
      </c>
      <c r="BI60" s="1191"/>
      <c r="BJ60" s="93" t="s">
        <v>274</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203" t="s">
        <v>668</v>
      </c>
      <c r="B61" s="1204"/>
      <c r="C61" s="1509"/>
      <c r="D61" s="1510"/>
      <c r="E61" s="514" t="s">
        <v>669</v>
      </c>
      <c r="F61" s="10"/>
      <c r="G61" s="10"/>
      <c r="H61" s="10"/>
      <c r="I61" s="10"/>
      <c r="J61" s="10"/>
      <c r="K61" s="10"/>
      <c r="L61" s="10"/>
      <c r="M61" s="10"/>
      <c r="N61" s="10"/>
      <c r="O61" s="10"/>
      <c r="P61" s="10"/>
      <c r="Q61" s="10"/>
      <c r="R61" s="10"/>
      <c r="S61" s="11"/>
      <c r="T61" s="1203" t="s">
        <v>668</v>
      </c>
      <c r="U61" s="1204"/>
      <c r="V61" s="1509"/>
      <c r="W61" s="1510"/>
      <c r="X61" s="1516" t="s">
        <v>669</v>
      </c>
      <c r="Y61" s="1517"/>
      <c r="Z61" s="1517"/>
      <c r="AA61" s="1517"/>
      <c r="AB61" s="1517"/>
      <c r="AC61" s="1517"/>
      <c r="AD61" s="1517"/>
      <c r="AE61" s="1517"/>
      <c r="AF61" s="1517"/>
      <c r="AG61" s="1517"/>
      <c r="AH61" s="1517"/>
      <c r="AI61" s="1517"/>
      <c r="AJ61" s="1517"/>
      <c r="AK61" s="1517"/>
      <c r="AL61" s="1518"/>
      <c r="AM61" s="1203" t="s">
        <v>668</v>
      </c>
      <c r="AN61" s="1204"/>
      <c r="AO61" s="1509"/>
      <c r="AP61" s="1510"/>
      <c r="AQ61" t="s">
        <v>669</v>
      </c>
      <c r="AR61" s="10"/>
      <c r="AS61" s="10"/>
      <c r="AT61" s="10"/>
      <c r="AU61" s="10"/>
      <c r="AV61" s="10"/>
      <c r="AW61" s="10"/>
      <c r="AX61" s="10"/>
      <c r="AY61" s="10"/>
      <c r="AZ61" s="10"/>
      <c r="BA61" s="10"/>
      <c r="BB61" s="10"/>
      <c r="BC61" s="10"/>
      <c r="BD61" s="10"/>
      <c r="BE61" s="11"/>
      <c r="BF61" s="1203" t="s">
        <v>668</v>
      </c>
      <c r="BG61" s="1204"/>
      <c r="BH61" s="1514"/>
      <c r="BI61" s="1515"/>
      <c r="BJ61" t="s">
        <v>669</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87"/>
      <c r="C62" s="1319" t="str" cm="1">
        <f t="array" ref="C62">_xlfn.IFS(AND(NOT(C55=0),C56&gt;=C61,C57&gt;=C61,NOT(ISBLANK(C61)),NOT(C61=0)),"PASS",AND(C55=0,(C56+C57)&gt;=C61,NOT(ISBLANK(C61)),NOT(C61=0)),"PASS", AND(NOT(C55=0),OR(C56&lt;C61,C57&lt;C61,ISBLANK(C61),C61=0)),"FAIL",AND(C55=0,OR((C56+C57)&lt;C61,ISBLANK(C61),C61=0)),"FAIL")</f>
        <v>FAIL</v>
      </c>
      <c r="D62" s="1320"/>
      <c r="E62" s="8"/>
      <c r="F62" s="10"/>
      <c r="G62" s="10"/>
      <c r="H62" s="10"/>
      <c r="I62" s="10"/>
      <c r="J62" s="10"/>
      <c r="K62" s="10"/>
      <c r="L62" s="10"/>
      <c r="M62" s="10"/>
      <c r="N62" s="10"/>
      <c r="O62" s="10"/>
      <c r="P62" s="10"/>
      <c r="Q62" s="10"/>
      <c r="R62" s="10"/>
      <c r="S62" s="11"/>
      <c r="T62" s="12"/>
      <c r="U62" s="287"/>
      <c r="V62" s="1319" t="str" cm="1">
        <f t="array" ref="V62">_xlfn.IFS(AND(NOT(V55=0),V56&gt;=V61,V57&gt;=V61,NOT(ISBLANK(V61)),NOT(V61=0)),"PASS",AND(V55=0,(V56+V57)&gt;=V61,NOT(ISBLANK(V61)),NOT(V61=0)),"PASS", AND(NOT(V55=0),OR(V56&lt;V61,V57&lt;V61,ISBLANK(V61),V61=0)),"FAIL",AND(V55=0,OR((V56+V57)&lt;V61,ISBLANK(V61),V61=0)),"FAIL")</f>
        <v>FAIL</v>
      </c>
      <c r="W62" s="1320"/>
      <c r="X62" s="8"/>
      <c r="Y62" s="10"/>
      <c r="Z62" s="10"/>
      <c r="AA62" s="10"/>
      <c r="AB62" s="10"/>
      <c r="AC62" s="10"/>
      <c r="AD62" s="10"/>
      <c r="AE62" s="10"/>
      <c r="AF62" s="10"/>
      <c r="AG62" s="10"/>
      <c r="AH62" s="10"/>
      <c r="AI62" s="10"/>
      <c r="AJ62" s="10"/>
      <c r="AK62" s="10"/>
      <c r="AL62" s="11"/>
      <c r="AM62" s="12"/>
      <c r="AN62" s="287"/>
      <c r="AO62" s="1319" t="str">
        <f t="array" ref="AO62">_xlfn.IFS(AND(NOT(AO55=0),AO56&gt;=AO61,AO57&gt;=AO61,NOT(ISBLANK(AO61)),NOT(AO61=0)),"PASS",AND(AO55=0,(AO56+AO57)&gt;=AO61,NOT(ISBLANK(AO61)),NOT(AO61=0)),"PASS", AND(NOT(AO55=0),OR(AO56&lt;AO61,AO57&lt;AO61,ISBLANK(AO61),AO61=0)),"FAIL",AND(AO55=0,OR((AO56+AO57)&lt;AO61,ISBLANK(AO61),AO61=0)),"FAIL")</f>
        <v>FAIL</v>
      </c>
      <c r="AP62" s="1320"/>
      <c r="AQ62" s="8"/>
      <c r="AR62" s="10"/>
      <c r="AS62" s="10"/>
      <c r="AT62" s="10"/>
      <c r="AU62" s="10"/>
      <c r="AV62" s="10"/>
      <c r="AW62" s="10"/>
      <c r="AX62" s="10"/>
      <c r="AY62" s="10"/>
      <c r="AZ62" s="10"/>
      <c r="BA62" s="10"/>
      <c r="BB62" s="10"/>
      <c r="BC62" s="10"/>
      <c r="BD62" s="10"/>
      <c r="BE62" s="11"/>
      <c r="BF62" s="12"/>
      <c r="BG62" s="287"/>
      <c r="BH62" s="1319" t="str">
        <f t="array" ref="BH62">_xlfn.IFS(AND(NOT(BH55=0),BH56&gt;=BH61,BH57&gt;=BH61,NOT(ISBLANK(BH61)),NOT(BH61=0)),"PASS",AND(BH55=0,(BH56+BH57)&gt;=BH61,NOT(ISBLANK(BH61)),NOT(BH61=0)),"PASS", AND(NOT(BH55=0),OR(BH56&lt;BH61,BH57&lt;BH61,ISBLANK(BH61),BH61=0)),"FAIL",AND(BH55=0,OR((BH56+BH57)&lt;BH61,ISBLANK(BH61),BH61=0)),"FAIL")</f>
        <v>FAIL</v>
      </c>
      <c r="BI62" s="1320"/>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5" t="s">
        <v>670</v>
      </c>
      <c r="B63" s="246"/>
      <c r="C63" s="246"/>
      <c r="D63" s="246"/>
      <c r="E63" s="246"/>
      <c r="F63" s="246"/>
      <c r="G63" s="246"/>
      <c r="H63" s="246"/>
      <c r="I63" s="246"/>
      <c r="J63" s="246"/>
      <c r="K63" s="246"/>
      <c r="L63" s="246"/>
      <c r="M63" s="246"/>
      <c r="N63" s="246"/>
      <c r="O63" s="246"/>
      <c r="P63" s="246"/>
      <c r="Q63" s="246"/>
      <c r="R63" s="246"/>
      <c r="S63" s="247"/>
      <c r="T63" s="245" t="s">
        <v>670</v>
      </c>
      <c r="U63" s="246"/>
      <c r="V63" s="246"/>
      <c r="W63" s="246"/>
      <c r="X63" s="246"/>
      <c r="Y63" s="246"/>
      <c r="Z63" s="246"/>
      <c r="AA63" s="246"/>
      <c r="AB63" s="246"/>
      <c r="AC63" s="246"/>
      <c r="AD63" s="246"/>
      <c r="AE63" s="246"/>
      <c r="AF63" s="246"/>
      <c r="AG63" s="246"/>
      <c r="AH63" s="246"/>
      <c r="AI63" s="246"/>
      <c r="AJ63" s="246"/>
      <c r="AK63" s="246"/>
      <c r="AL63" s="247"/>
      <c r="AM63" s="245" t="s">
        <v>670</v>
      </c>
      <c r="AN63" s="246"/>
      <c r="AO63" s="246"/>
      <c r="AP63" s="246"/>
      <c r="AQ63" s="246"/>
      <c r="AR63" s="246"/>
      <c r="AS63" s="246"/>
      <c r="AT63" s="246"/>
      <c r="AU63" s="246"/>
      <c r="AV63" s="246"/>
      <c r="AW63" s="246"/>
      <c r="AX63" s="246"/>
      <c r="AY63" s="246"/>
      <c r="AZ63" s="246"/>
      <c r="BA63" s="246"/>
      <c r="BB63" s="246"/>
      <c r="BC63" s="246"/>
      <c r="BD63" s="246"/>
      <c r="BE63" s="247"/>
      <c r="BF63" s="1519" t="s">
        <v>670</v>
      </c>
      <c r="BG63" s="1520"/>
      <c r="BH63" s="1520"/>
      <c r="BI63" s="1520"/>
      <c r="BJ63" s="1520"/>
      <c r="BK63" s="1520"/>
      <c r="BL63" s="1520"/>
      <c r="BM63" s="1520"/>
      <c r="BN63" s="1520"/>
      <c r="BO63" s="1520"/>
      <c r="BP63" s="1520"/>
      <c r="BQ63" s="1520"/>
      <c r="BR63" s="1520"/>
      <c r="BS63" s="246"/>
      <c r="BT63" s="246"/>
      <c r="BU63" s="246"/>
      <c r="BV63" s="246"/>
      <c r="BW63" s="246"/>
      <c r="BX63" s="247"/>
      <c r="BY63" s="246"/>
      <c r="BZ63" s="246"/>
      <c r="CA63" s="246"/>
      <c r="CB63" s="246"/>
      <c r="CC63" s="246"/>
      <c r="CD63" s="246"/>
      <c r="CE63" s="246"/>
      <c r="CF63" s="246"/>
      <c r="CG63" s="246"/>
      <c r="CH63" s="246"/>
      <c r="CI63" s="246"/>
      <c r="CJ63" s="246"/>
      <c r="CK63" s="246"/>
      <c r="CL63" s="246"/>
      <c r="CM63" s="246"/>
      <c r="CN63" s="246"/>
      <c r="CO63" s="246"/>
      <c r="CP63" s="246"/>
      <c r="CQ63" s="247"/>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39" t="s">
        <v>275</v>
      </c>
      <c r="S78" s="15"/>
      <c r="T78" s="539" t="s">
        <v>275</v>
      </c>
      <c r="AL78" s="15"/>
      <c r="AM78" s="539" t="s">
        <v>275</v>
      </c>
      <c r="BE78" s="15"/>
      <c r="BF78" s="539" t="s">
        <v>275</v>
      </c>
      <c r="BX78" s="15"/>
      <c r="BY78" s="539" t="s">
        <v>275</v>
      </c>
      <c r="CQ78" s="15"/>
    </row>
    <row r="79" spans="1:95">
      <c r="A79" s="8" t="s">
        <v>276</v>
      </c>
      <c r="S79" s="15"/>
      <c r="T79" s="8" t="s">
        <v>276</v>
      </c>
      <c r="AL79" s="15"/>
      <c r="AM79" s="8" t="s">
        <v>276</v>
      </c>
      <c r="BE79" s="15"/>
      <c r="BF79" s="8" t="s">
        <v>276</v>
      </c>
      <c r="BX79" s="15"/>
      <c r="BY79" s="8" t="s">
        <v>276</v>
      </c>
      <c r="CQ79" s="15"/>
    </row>
    <row r="80" spans="1:95">
      <c r="A80" s="8" t="s">
        <v>277</v>
      </c>
      <c r="B80" s="104"/>
      <c r="C80" s="104"/>
      <c r="D80" s="104"/>
      <c r="E80" s="104"/>
      <c r="F80" s="104"/>
      <c r="G80" s="104"/>
      <c r="H80" s="104"/>
      <c r="I80" s="104"/>
      <c r="J80" s="104"/>
      <c r="K80" s="104"/>
      <c r="L80" s="104"/>
      <c r="M80" s="104"/>
      <c r="N80" s="104"/>
      <c r="O80" s="104"/>
      <c r="P80" s="104"/>
      <c r="Q80" s="104"/>
      <c r="R80" s="104"/>
      <c r="S80" s="147"/>
      <c r="T80" s="8" t="s">
        <v>277</v>
      </c>
      <c r="U80" s="104"/>
      <c r="V80" s="104"/>
      <c r="W80" s="104"/>
      <c r="X80" s="104"/>
      <c r="Y80" s="104"/>
      <c r="Z80" s="104"/>
      <c r="AA80" s="104"/>
      <c r="AB80" s="104"/>
      <c r="AC80" s="104"/>
      <c r="AD80" s="104"/>
      <c r="AE80" s="104"/>
      <c r="AF80" s="104"/>
      <c r="AG80" s="104"/>
      <c r="AH80" s="104"/>
      <c r="AI80" s="104"/>
      <c r="AJ80" s="104"/>
      <c r="AK80" s="104"/>
      <c r="AL80" s="147"/>
      <c r="AM80" s="8" t="s">
        <v>277</v>
      </c>
      <c r="AN80" s="104"/>
      <c r="AO80" s="104"/>
      <c r="AP80" s="104"/>
      <c r="AQ80" s="104"/>
      <c r="AR80" s="104"/>
      <c r="AS80" s="104"/>
      <c r="AT80" s="104"/>
      <c r="AU80" s="104"/>
      <c r="AV80" s="104"/>
      <c r="AW80" s="104"/>
      <c r="AX80" s="104"/>
      <c r="AY80" s="104"/>
      <c r="AZ80" s="104"/>
      <c r="BA80" s="104"/>
      <c r="BB80" s="104"/>
      <c r="BC80" s="104"/>
      <c r="BD80" s="104"/>
      <c r="BE80" s="147"/>
      <c r="BF80" s="8" t="s">
        <v>277</v>
      </c>
      <c r="BG80" s="104"/>
      <c r="BH80" s="104"/>
      <c r="BI80" s="104"/>
      <c r="BJ80" s="104"/>
      <c r="BK80" s="104"/>
      <c r="BL80" s="104"/>
      <c r="BM80" s="104"/>
      <c r="BN80" s="104"/>
      <c r="BO80" s="104"/>
      <c r="BP80" s="104"/>
      <c r="BQ80" s="104"/>
      <c r="BR80" s="104"/>
      <c r="BS80" s="104"/>
      <c r="BT80" s="104"/>
      <c r="BU80" s="104"/>
      <c r="BV80" s="104"/>
      <c r="BW80" s="104"/>
      <c r="BX80" s="147"/>
      <c r="BY80" s="8" t="s">
        <v>277</v>
      </c>
      <c r="BZ80" s="104"/>
      <c r="CA80" s="104"/>
      <c r="CB80" s="104"/>
      <c r="CC80" s="104"/>
      <c r="CD80" s="104"/>
      <c r="CE80" s="104"/>
      <c r="CF80" s="104"/>
      <c r="CG80" s="104"/>
      <c r="CH80" s="104"/>
      <c r="CI80" s="104"/>
      <c r="CJ80" s="104"/>
      <c r="CK80" s="104"/>
      <c r="CL80" s="104"/>
      <c r="CM80" s="104"/>
      <c r="CN80" s="104"/>
      <c r="CO80" s="104"/>
      <c r="CP80" s="104"/>
      <c r="CQ80" s="147"/>
    </row>
    <row r="81" spans="1:95">
      <c r="A81" s="146"/>
      <c r="B81" s="104"/>
      <c r="C81" s="104"/>
      <c r="D81" s="104"/>
      <c r="E81" s="104"/>
      <c r="F81" s="104"/>
      <c r="G81" s="104"/>
      <c r="H81" s="104"/>
      <c r="I81" s="104"/>
      <c r="J81" s="104"/>
      <c r="K81" s="104"/>
      <c r="L81" s="104"/>
      <c r="M81" s="104"/>
      <c r="N81" s="104"/>
      <c r="O81" s="104"/>
      <c r="P81" s="104"/>
      <c r="Q81" s="104"/>
      <c r="R81" s="104"/>
      <c r="S81" s="147"/>
      <c r="T81" s="146"/>
      <c r="U81" s="104"/>
      <c r="V81" s="104"/>
      <c r="W81" s="104"/>
      <c r="X81" s="104"/>
      <c r="Y81" s="104"/>
      <c r="Z81" s="104"/>
      <c r="AA81" s="104"/>
      <c r="AB81" s="104"/>
      <c r="AC81" s="104"/>
      <c r="AD81" s="104"/>
      <c r="AE81" s="104"/>
      <c r="AF81" s="104"/>
      <c r="AG81" s="104"/>
      <c r="AH81" s="104"/>
      <c r="AI81" s="104"/>
      <c r="AJ81" s="104"/>
      <c r="AK81" s="104"/>
      <c r="AL81" s="147"/>
      <c r="AM81" s="146"/>
      <c r="AN81" s="104"/>
      <c r="AO81" s="104"/>
      <c r="AP81" s="104"/>
      <c r="AQ81" s="104"/>
      <c r="AR81" s="104"/>
      <c r="AS81" s="104"/>
      <c r="AT81" s="104"/>
      <c r="AU81" s="104"/>
      <c r="AV81" s="104"/>
      <c r="AW81" s="104"/>
      <c r="AX81" s="104"/>
      <c r="AY81" s="104"/>
      <c r="AZ81" s="104"/>
      <c r="BA81" s="104"/>
      <c r="BB81" s="104"/>
      <c r="BC81" s="104"/>
      <c r="BD81" s="104"/>
      <c r="BE81" s="147"/>
      <c r="BF81" s="146"/>
      <c r="BG81" s="104"/>
      <c r="BH81" s="104"/>
      <c r="BI81" s="104"/>
      <c r="BJ81" s="104"/>
      <c r="BK81" s="104"/>
      <c r="BL81" s="104"/>
      <c r="BM81" s="104"/>
      <c r="BN81" s="104"/>
      <c r="BO81" s="104"/>
      <c r="BP81" s="104"/>
      <c r="BQ81" s="104"/>
      <c r="BR81" s="104"/>
      <c r="BS81" s="104"/>
      <c r="BT81" s="104"/>
      <c r="BU81" s="104"/>
      <c r="BV81" s="104"/>
      <c r="BW81" s="104"/>
      <c r="BX81" s="147"/>
      <c r="BY81" s="146"/>
      <c r="BZ81" s="104"/>
      <c r="CA81" s="104"/>
      <c r="CB81" s="104"/>
      <c r="CC81" s="104"/>
      <c r="CD81" s="104"/>
      <c r="CE81" s="104"/>
      <c r="CF81" s="104"/>
      <c r="CG81" s="104"/>
      <c r="CH81" s="104"/>
      <c r="CI81" s="104"/>
      <c r="CJ81" s="104"/>
      <c r="CK81" s="104"/>
      <c r="CL81" s="104"/>
      <c r="CM81" s="104"/>
      <c r="CN81" s="104"/>
      <c r="CO81" s="104"/>
      <c r="CP81" s="104"/>
      <c r="CQ81" s="147"/>
    </row>
    <row r="82" spans="1:95" ht="30" customHeight="1">
      <c r="A82" s="146"/>
      <c r="B82" s="541"/>
      <c r="C82" s="813" t="s">
        <v>671</v>
      </c>
      <c r="D82" s="746" t="s">
        <v>279</v>
      </c>
      <c r="F82" s="104"/>
      <c r="G82" s="104"/>
      <c r="H82" s="1219"/>
      <c r="I82" s="1219"/>
      <c r="J82" s="104"/>
      <c r="K82" s="104"/>
      <c r="L82" s="104"/>
      <c r="M82" s="104"/>
      <c r="N82" s="104"/>
      <c r="O82" s="104"/>
      <c r="P82" s="104"/>
      <c r="Q82" s="104"/>
      <c r="R82" s="104"/>
      <c r="S82" s="147"/>
      <c r="T82" s="146"/>
      <c r="U82" s="541"/>
      <c r="V82" s="813" t="s">
        <v>671</v>
      </c>
      <c r="W82" s="746" t="s">
        <v>279</v>
      </c>
      <c r="Y82" s="104"/>
      <c r="Z82" s="104"/>
      <c r="AA82" s="1219"/>
      <c r="AB82" s="1219"/>
      <c r="AC82" s="104"/>
      <c r="AD82" s="104"/>
      <c r="AE82" s="104"/>
      <c r="AF82" s="104"/>
      <c r="AG82" s="104"/>
      <c r="AH82" s="104"/>
      <c r="AI82" s="104"/>
      <c r="AJ82" s="104"/>
      <c r="AK82" s="104"/>
      <c r="AL82" s="147"/>
      <c r="AM82" s="146"/>
      <c r="AN82" s="541"/>
      <c r="AO82" s="813" t="s">
        <v>671</v>
      </c>
      <c r="AP82" s="746" t="s">
        <v>279</v>
      </c>
      <c r="AR82" s="104"/>
      <c r="AS82" s="104"/>
      <c r="AT82" s="1219"/>
      <c r="AU82" s="1219"/>
      <c r="AV82" s="104"/>
      <c r="AW82" s="104"/>
      <c r="AX82" s="104"/>
      <c r="AY82" s="104"/>
      <c r="AZ82" s="104"/>
      <c r="BA82" s="104"/>
      <c r="BB82" s="104"/>
      <c r="BC82" s="104"/>
      <c r="BD82" s="104"/>
      <c r="BE82" s="147"/>
      <c r="BF82" s="146"/>
      <c r="BG82" s="541"/>
      <c r="BH82" s="813" t="s">
        <v>671</v>
      </c>
      <c r="BI82" s="746" t="s">
        <v>279</v>
      </c>
      <c r="BK82" s="104"/>
      <c r="BL82" s="104"/>
      <c r="BM82" s="1219"/>
      <c r="BN82" s="1219"/>
      <c r="BO82" s="104"/>
      <c r="BP82" s="104"/>
      <c r="BQ82" s="104"/>
      <c r="BR82" s="104"/>
      <c r="BS82" s="104"/>
      <c r="BT82" s="104"/>
      <c r="BU82" s="104"/>
      <c r="BV82" s="104"/>
      <c r="BW82" s="104"/>
      <c r="BX82" s="147"/>
      <c r="BY82" s="146"/>
      <c r="BZ82" s="541"/>
      <c r="CA82" s="813" t="s">
        <v>671</v>
      </c>
      <c r="CB82" s="746" t="s">
        <v>279</v>
      </c>
      <c r="CD82" s="104"/>
      <c r="CE82" s="104"/>
      <c r="CF82" s="1219"/>
      <c r="CG82" s="1219"/>
      <c r="CH82" s="104"/>
      <c r="CI82" s="104"/>
      <c r="CJ82" s="104"/>
      <c r="CK82" s="104"/>
      <c r="CL82" s="104"/>
      <c r="CM82" s="104"/>
      <c r="CN82" s="104"/>
      <c r="CO82" s="104"/>
      <c r="CP82" s="104"/>
      <c r="CQ82" s="147"/>
    </row>
    <row r="83" spans="1:95" ht="14.25">
      <c r="A83" s="146"/>
      <c r="B83" s="542">
        <v>1</v>
      </c>
      <c r="C83" s="824" t="s">
        <v>672</v>
      </c>
      <c r="D83" s="825" t="s">
        <v>672</v>
      </c>
      <c r="F83" s="104"/>
      <c r="G83" s="599"/>
      <c r="H83" s="540"/>
      <c r="I83" s="540"/>
      <c r="J83" s="104"/>
      <c r="K83" s="104"/>
      <c r="L83" s="104"/>
      <c r="M83" s="104"/>
      <c r="N83" s="104"/>
      <c r="O83" s="104"/>
      <c r="P83" s="104"/>
      <c r="Q83" s="104"/>
      <c r="R83" s="104"/>
      <c r="S83" s="147"/>
      <c r="T83" s="146"/>
      <c r="U83" s="542">
        <v>1</v>
      </c>
      <c r="V83" s="824"/>
      <c r="W83" s="825"/>
      <c r="Y83" s="104"/>
      <c r="Z83" s="599"/>
      <c r="AA83" s="540"/>
      <c r="AB83" s="540"/>
      <c r="AC83" s="104"/>
      <c r="AD83" s="104"/>
      <c r="AE83" s="104"/>
      <c r="AF83" s="104"/>
      <c r="AG83" s="104"/>
      <c r="AH83" s="104"/>
      <c r="AI83" s="104"/>
      <c r="AJ83" s="104"/>
      <c r="AK83" s="104"/>
      <c r="AL83" s="147"/>
      <c r="AM83" s="146"/>
      <c r="AN83" s="542">
        <v>1</v>
      </c>
      <c r="AO83" s="824"/>
      <c r="AP83" s="825"/>
      <c r="AR83" s="104"/>
      <c r="AS83" s="599"/>
      <c r="AT83" s="540"/>
      <c r="AU83" s="540"/>
      <c r="AV83" s="104"/>
      <c r="AW83" s="104"/>
      <c r="AX83" s="104"/>
      <c r="AY83" s="104"/>
      <c r="AZ83" s="104"/>
      <c r="BA83" s="104"/>
      <c r="BB83" s="104"/>
      <c r="BC83" s="104"/>
      <c r="BD83" s="104"/>
      <c r="BE83" s="147"/>
      <c r="BF83" s="146"/>
      <c r="BG83" s="542">
        <v>1</v>
      </c>
      <c r="BH83" s="824"/>
      <c r="BI83" s="825"/>
      <c r="BK83" s="104"/>
      <c r="BL83" s="599"/>
      <c r="BM83" s="540"/>
      <c r="BN83" s="540"/>
      <c r="BO83" s="104"/>
      <c r="BP83" s="104"/>
      <c r="BQ83" s="104"/>
      <c r="BR83" s="104"/>
      <c r="BS83" s="104"/>
      <c r="BT83" s="104"/>
      <c r="BU83" s="104"/>
      <c r="BV83" s="104"/>
      <c r="BW83" s="104"/>
      <c r="BX83" s="147"/>
      <c r="BY83" s="146"/>
      <c r="BZ83" s="542">
        <v>1</v>
      </c>
      <c r="CA83" s="824"/>
      <c r="CB83" s="825"/>
      <c r="CD83" s="104"/>
      <c r="CE83" s="599"/>
      <c r="CF83" s="540"/>
      <c r="CG83" s="540"/>
      <c r="CH83" s="104"/>
      <c r="CI83" s="104"/>
      <c r="CJ83" s="104"/>
      <c r="CK83" s="104"/>
      <c r="CL83" s="104"/>
      <c r="CM83" s="104"/>
      <c r="CN83" s="104"/>
      <c r="CO83" s="104"/>
      <c r="CP83" s="104"/>
      <c r="CQ83" s="147"/>
    </row>
    <row r="84" spans="1:95">
      <c r="A84" s="146"/>
      <c r="B84" s="542">
        <v>2</v>
      </c>
      <c r="C84" s="826"/>
      <c r="D84" s="827"/>
      <c r="F84" s="104"/>
      <c r="G84" s="613"/>
      <c r="J84" s="104"/>
      <c r="K84" s="104"/>
      <c r="L84" s="104"/>
      <c r="M84" s="104"/>
      <c r="N84" s="104"/>
      <c r="O84" s="104"/>
      <c r="P84" s="104"/>
      <c r="Q84" s="104"/>
      <c r="R84" s="104"/>
      <c r="S84" s="147"/>
      <c r="T84" s="146"/>
      <c r="U84" s="542">
        <v>2</v>
      </c>
      <c r="V84" s="826"/>
      <c r="W84" s="827"/>
      <c r="Y84" s="104"/>
      <c r="Z84" s="613"/>
      <c r="AC84" s="104"/>
      <c r="AD84" s="104"/>
      <c r="AE84" s="104"/>
      <c r="AF84" s="104"/>
      <c r="AG84" s="104"/>
      <c r="AH84" s="104"/>
      <c r="AI84" s="104"/>
      <c r="AJ84" s="104"/>
      <c r="AK84" s="104"/>
      <c r="AL84" s="147"/>
      <c r="AM84" s="146"/>
      <c r="AN84" s="542">
        <v>2</v>
      </c>
      <c r="AO84" s="826"/>
      <c r="AP84" s="827"/>
      <c r="AR84" s="104"/>
      <c r="AS84" s="613"/>
      <c r="AV84" s="104"/>
      <c r="AW84" s="104"/>
      <c r="AX84" s="104"/>
      <c r="AY84" s="104"/>
      <c r="AZ84" s="104"/>
      <c r="BA84" s="104"/>
      <c r="BB84" s="104"/>
      <c r="BC84" s="104"/>
      <c r="BD84" s="104"/>
      <c r="BE84" s="147"/>
      <c r="BF84" s="146"/>
      <c r="BG84" s="542">
        <v>2</v>
      </c>
      <c r="BH84" s="826"/>
      <c r="BI84" s="827"/>
      <c r="BK84" s="104"/>
      <c r="BL84" s="613"/>
      <c r="BO84" s="104"/>
      <c r="BP84" s="104"/>
      <c r="BQ84" s="104"/>
      <c r="BR84" s="104"/>
      <c r="BS84" s="104"/>
      <c r="BT84" s="104"/>
      <c r="BU84" s="104"/>
      <c r="BV84" s="104"/>
      <c r="BW84" s="104"/>
      <c r="BX84" s="147"/>
      <c r="BY84" s="146"/>
      <c r="BZ84" s="542">
        <v>2</v>
      </c>
      <c r="CA84" s="826"/>
      <c r="CB84" s="827"/>
      <c r="CD84" s="104"/>
      <c r="CE84" s="613"/>
      <c r="CH84" s="104"/>
      <c r="CI84" s="104"/>
      <c r="CJ84" s="104"/>
      <c r="CK84" s="104"/>
      <c r="CL84" s="104"/>
      <c r="CM84" s="104"/>
      <c r="CN84" s="104"/>
      <c r="CO84" s="104"/>
      <c r="CP84" s="104"/>
      <c r="CQ84" s="147"/>
    </row>
    <row r="85" spans="1:95">
      <c r="A85" s="146"/>
      <c r="B85" s="542">
        <v>3</v>
      </c>
      <c r="C85" s="826"/>
      <c r="D85" s="827"/>
      <c r="F85" s="104"/>
      <c r="G85" s="613"/>
      <c r="J85" s="104"/>
      <c r="K85" s="104"/>
      <c r="L85" s="104"/>
      <c r="M85" s="104"/>
      <c r="N85" s="104"/>
      <c r="O85" s="104"/>
      <c r="P85" s="104"/>
      <c r="Q85" s="104"/>
      <c r="R85" s="104"/>
      <c r="S85" s="147"/>
      <c r="T85" s="146"/>
      <c r="U85" s="542">
        <v>3</v>
      </c>
      <c r="V85" s="826"/>
      <c r="W85" s="827"/>
      <c r="Y85" s="104"/>
      <c r="Z85" s="613"/>
      <c r="AC85" s="104"/>
      <c r="AD85" s="104"/>
      <c r="AE85" s="104"/>
      <c r="AF85" s="104"/>
      <c r="AG85" s="104"/>
      <c r="AH85" s="104"/>
      <c r="AI85" s="104"/>
      <c r="AJ85" s="104"/>
      <c r="AK85" s="104"/>
      <c r="AL85" s="147"/>
      <c r="AM85" s="146"/>
      <c r="AN85" s="542">
        <v>3</v>
      </c>
      <c r="AO85" s="826"/>
      <c r="AP85" s="827"/>
      <c r="AR85" s="104"/>
      <c r="AS85" s="613"/>
      <c r="AV85" s="104"/>
      <c r="AW85" s="104"/>
      <c r="AX85" s="104"/>
      <c r="AY85" s="104"/>
      <c r="AZ85" s="104"/>
      <c r="BA85" s="104"/>
      <c r="BB85" s="104"/>
      <c r="BC85" s="104"/>
      <c r="BD85" s="104"/>
      <c r="BE85" s="147"/>
      <c r="BF85" s="146"/>
      <c r="BG85" s="542">
        <v>3</v>
      </c>
      <c r="BH85" s="826"/>
      <c r="BI85" s="827"/>
      <c r="BK85" s="104"/>
      <c r="BL85" s="613"/>
      <c r="BO85" s="104"/>
      <c r="BP85" s="104"/>
      <c r="BQ85" s="104"/>
      <c r="BR85" s="104"/>
      <c r="BS85" s="104"/>
      <c r="BT85" s="104"/>
      <c r="BU85" s="104"/>
      <c r="BV85" s="104"/>
      <c r="BW85" s="104"/>
      <c r="BX85" s="147"/>
      <c r="BY85" s="146"/>
      <c r="BZ85" s="542">
        <v>3</v>
      </c>
      <c r="CA85" s="826"/>
      <c r="CB85" s="827"/>
      <c r="CD85" s="104"/>
      <c r="CE85" s="613"/>
      <c r="CH85" s="104"/>
      <c r="CI85" s="104"/>
      <c r="CJ85" s="104"/>
      <c r="CK85" s="104"/>
      <c r="CL85" s="104"/>
      <c r="CM85" s="104"/>
      <c r="CN85" s="104"/>
      <c r="CO85" s="104"/>
      <c r="CP85" s="104"/>
      <c r="CQ85" s="147"/>
    </row>
    <row r="86" spans="1:95">
      <c r="A86" s="146"/>
      <c r="B86" s="542">
        <v>4</v>
      </c>
      <c r="C86" s="826"/>
      <c r="D86" s="827"/>
      <c r="F86" s="104"/>
      <c r="G86" s="104"/>
      <c r="H86" s="104"/>
      <c r="I86" s="104"/>
      <c r="J86" s="104"/>
      <c r="K86" s="104"/>
      <c r="L86" s="104"/>
      <c r="M86" s="104"/>
      <c r="N86" s="104"/>
      <c r="O86" s="104"/>
      <c r="P86" s="104"/>
      <c r="Q86" s="104"/>
      <c r="R86" s="104"/>
      <c r="S86" s="147"/>
      <c r="T86" s="146"/>
      <c r="U86" s="542">
        <v>4</v>
      </c>
      <c r="V86" s="826"/>
      <c r="W86" s="827"/>
      <c r="Y86" s="104"/>
      <c r="Z86" s="104"/>
      <c r="AA86" s="104"/>
      <c r="AB86" s="104"/>
      <c r="AC86" s="104"/>
      <c r="AD86" s="104"/>
      <c r="AE86" s="104"/>
      <c r="AF86" s="104"/>
      <c r="AG86" s="104"/>
      <c r="AH86" s="104"/>
      <c r="AI86" s="104"/>
      <c r="AJ86" s="104"/>
      <c r="AK86" s="104"/>
      <c r="AL86" s="147"/>
      <c r="AM86" s="146"/>
      <c r="AN86" s="542">
        <v>4</v>
      </c>
      <c r="AO86" s="826"/>
      <c r="AP86" s="827"/>
      <c r="AR86" s="104"/>
      <c r="AS86" s="104"/>
      <c r="AT86" s="104"/>
      <c r="AU86" s="104"/>
      <c r="AV86" s="104"/>
      <c r="AW86" s="104"/>
      <c r="AX86" s="104"/>
      <c r="AY86" s="104"/>
      <c r="AZ86" s="104"/>
      <c r="BA86" s="104"/>
      <c r="BB86" s="104"/>
      <c r="BC86" s="104"/>
      <c r="BD86" s="104"/>
      <c r="BE86" s="147"/>
      <c r="BF86" s="146"/>
      <c r="BG86" s="542">
        <v>4</v>
      </c>
      <c r="BH86" s="826"/>
      <c r="BI86" s="827"/>
      <c r="BK86" s="104"/>
      <c r="BL86" s="104"/>
      <c r="BM86" s="104"/>
      <c r="BN86" s="104"/>
      <c r="BO86" s="104"/>
      <c r="BP86" s="104"/>
      <c r="BQ86" s="104"/>
      <c r="BR86" s="104"/>
      <c r="BS86" s="104"/>
      <c r="BT86" s="104"/>
      <c r="BU86" s="104"/>
      <c r="BV86" s="104"/>
      <c r="BW86" s="104"/>
      <c r="BX86" s="147"/>
      <c r="BY86" s="146"/>
      <c r="BZ86" s="542">
        <v>4</v>
      </c>
      <c r="CA86" s="826"/>
      <c r="CB86" s="827"/>
      <c r="CD86" s="104"/>
      <c r="CE86" s="104"/>
      <c r="CF86" s="104"/>
      <c r="CG86" s="104"/>
      <c r="CH86" s="104"/>
      <c r="CI86" s="104"/>
      <c r="CJ86" s="104"/>
      <c r="CK86" s="104"/>
      <c r="CL86" s="104"/>
      <c r="CM86" s="104"/>
      <c r="CN86" s="104"/>
      <c r="CO86" s="104"/>
      <c r="CP86" s="104"/>
      <c r="CQ86" s="147"/>
    </row>
    <row r="87" spans="1:95">
      <c r="A87" s="146"/>
      <c r="B87" s="542">
        <v>5</v>
      </c>
      <c r="C87" s="826"/>
      <c r="D87" s="827"/>
      <c r="F87" s="104"/>
      <c r="G87" s="104"/>
      <c r="H87" s="104"/>
      <c r="I87" s="104"/>
      <c r="J87" s="104"/>
      <c r="K87" s="104"/>
      <c r="L87" s="104"/>
      <c r="M87" s="104"/>
      <c r="N87" s="104"/>
      <c r="O87" s="104"/>
      <c r="P87" s="104"/>
      <c r="Q87" s="104"/>
      <c r="R87" s="104"/>
      <c r="S87" s="147"/>
      <c r="T87" s="146"/>
      <c r="U87" s="542">
        <v>5</v>
      </c>
      <c r="V87" s="826"/>
      <c r="W87" s="827"/>
      <c r="Y87" s="104"/>
      <c r="Z87" s="104"/>
      <c r="AA87" s="104"/>
      <c r="AB87" s="104"/>
      <c r="AC87" s="104"/>
      <c r="AD87" s="104"/>
      <c r="AE87" s="104"/>
      <c r="AF87" s="104"/>
      <c r="AG87" s="104"/>
      <c r="AH87" s="104"/>
      <c r="AI87" s="104"/>
      <c r="AJ87" s="104"/>
      <c r="AK87" s="104"/>
      <c r="AL87" s="147"/>
      <c r="AM87" s="146"/>
      <c r="AN87" s="542">
        <v>5</v>
      </c>
      <c r="AO87" s="826"/>
      <c r="AP87" s="827"/>
      <c r="AR87" s="104"/>
      <c r="AS87" s="104"/>
      <c r="AT87" s="104"/>
      <c r="AU87" s="104"/>
      <c r="AV87" s="104"/>
      <c r="AW87" s="104"/>
      <c r="AX87" s="104"/>
      <c r="AY87" s="104"/>
      <c r="AZ87" s="104"/>
      <c r="BA87" s="104"/>
      <c r="BB87" s="104"/>
      <c r="BC87" s="104"/>
      <c r="BD87" s="104"/>
      <c r="BE87" s="147"/>
      <c r="BF87" s="146"/>
      <c r="BG87" s="542">
        <v>5</v>
      </c>
      <c r="BH87" s="826"/>
      <c r="BI87" s="827"/>
      <c r="BK87" s="104"/>
      <c r="BL87" s="104"/>
      <c r="BM87" s="104"/>
      <c r="BN87" s="104"/>
      <c r="BO87" s="104"/>
      <c r="BP87" s="104"/>
      <c r="BQ87" s="104"/>
      <c r="BR87" s="104"/>
      <c r="BS87" s="104"/>
      <c r="BT87" s="104"/>
      <c r="BU87" s="104"/>
      <c r="BV87" s="104"/>
      <c r="BW87" s="104"/>
      <c r="BX87" s="147"/>
      <c r="BY87" s="146"/>
      <c r="BZ87" s="542">
        <v>5</v>
      </c>
      <c r="CA87" s="826"/>
      <c r="CB87" s="827"/>
      <c r="CD87" s="104"/>
      <c r="CE87" s="104"/>
      <c r="CF87" s="104"/>
      <c r="CG87" s="104"/>
      <c r="CH87" s="104"/>
      <c r="CI87" s="104"/>
      <c r="CJ87" s="104"/>
      <c r="CK87" s="104"/>
      <c r="CL87" s="104"/>
      <c r="CM87" s="104"/>
      <c r="CN87" s="104"/>
      <c r="CO87" s="104"/>
      <c r="CP87" s="104"/>
      <c r="CQ87" s="147"/>
    </row>
    <row r="88" spans="1:95">
      <c r="A88" s="146"/>
      <c r="B88" s="542">
        <v>6</v>
      </c>
      <c r="C88" s="826"/>
      <c r="D88" s="827"/>
      <c r="F88" s="104"/>
      <c r="G88" s="104"/>
      <c r="H88" s="104"/>
      <c r="I88" s="104"/>
      <c r="J88" s="104"/>
      <c r="K88" s="104"/>
      <c r="L88" s="104"/>
      <c r="M88" s="104"/>
      <c r="N88" s="104"/>
      <c r="O88" s="104"/>
      <c r="P88" s="104"/>
      <c r="Q88" s="104"/>
      <c r="R88" s="104"/>
      <c r="S88" s="147"/>
      <c r="T88" s="146"/>
      <c r="U88" s="542">
        <v>6</v>
      </c>
      <c r="V88" s="826"/>
      <c r="W88" s="827"/>
      <c r="Y88" s="104"/>
      <c r="Z88" s="104"/>
      <c r="AA88" s="104"/>
      <c r="AB88" s="104"/>
      <c r="AC88" s="104"/>
      <c r="AD88" s="104"/>
      <c r="AE88" s="104"/>
      <c r="AF88" s="104"/>
      <c r="AG88" s="104"/>
      <c r="AH88" s="104"/>
      <c r="AI88" s="104"/>
      <c r="AJ88" s="104"/>
      <c r="AK88" s="104"/>
      <c r="AL88" s="147"/>
      <c r="AM88" s="146"/>
      <c r="AN88" s="542">
        <v>6</v>
      </c>
      <c r="AO88" s="826"/>
      <c r="AP88" s="827"/>
      <c r="AR88" s="104"/>
      <c r="AS88" s="104"/>
      <c r="AT88" s="104"/>
      <c r="AU88" s="104"/>
      <c r="AV88" s="104"/>
      <c r="AW88" s="104"/>
      <c r="AX88" s="104"/>
      <c r="AY88" s="104"/>
      <c r="AZ88" s="104"/>
      <c r="BA88" s="104"/>
      <c r="BB88" s="104"/>
      <c r="BC88" s="104"/>
      <c r="BD88" s="104"/>
      <c r="BE88" s="147"/>
      <c r="BF88" s="146"/>
      <c r="BG88" s="542">
        <v>6</v>
      </c>
      <c r="BH88" s="826"/>
      <c r="BI88" s="827"/>
      <c r="BK88" s="104"/>
      <c r="BL88" s="104"/>
      <c r="BM88" s="104"/>
      <c r="BN88" s="104"/>
      <c r="BO88" s="104"/>
      <c r="BP88" s="104"/>
      <c r="BQ88" s="104"/>
      <c r="BR88" s="104"/>
      <c r="BS88" s="104"/>
      <c r="BT88" s="104"/>
      <c r="BU88" s="104"/>
      <c r="BV88" s="104"/>
      <c r="BW88" s="104"/>
      <c r="BX88" s="147"/>
      <c r="BY88" s="146"/>
      <c r="BZ88" s="542">
        <v>6</v>
      </c>
      <c r="CA88" s="826"/>
      <c r="CB88" s="827"/>
      <c r="CD88" s="104"/>
      <c r="CE88" s="104"/>
      <c r="CF88" s="104"/>
      <c r="CG88" s="104"/>
      <c r="CH88" s="104"/>
      <c r="CI88" s="104"/>
      <c r="CJ88" s="104"/>
      <c r="CK88" s="104"/>
      <c r="CL88" s="104"/>
      <c r="CM88" s="104"/>
      <c r="CN88" s="104"/>
      <c r="CO88" s="104"/>
      <c r="CP88" s="104"/>
      <c r="CQ88" s="147"/>
    </row>
    <row r="89" spans="1:95">
      <c r="A89" s="146"/>
      <c r="B89" s="542">
        <v>7</v>
      </c>
      <c r="C89" s="826"/>
      <c r="D89" s="827"/>
      <c r="F89" s="104"/>
      <c r="G89" s="104"/>
      <c r="H89" s="104"/>
      <c r="I89" s="104"/>
      <c r="J89" s="104"/>
      <c r="K89" s="104"/>
      <c r="L89" s="104"/>
      <c r="M89" s="104"/>
      <c r="N89" s="104"/>
      <c r="O89" s="104"/>
      <c r="P89" s="104"/>
      <c r="Q89" s="104"/>
      <c r="R89" s="104"/>
      <c r="S89" s="147"/>
      <c r="T89" s="146"/>
      <c r="U89" s="542">
        <v>7</v>
      </c>
      <c r="V89" s="826"/>
      <c r="W89" s="827"/>
      <c r="Y89" s="104"/>
      <c r="Z89" s="104"/>
      <c r="AA89" s="104"/>
      <c r="AB89" s="104"/>
      <c r="AC89" s="104"/>
      <c r="AD89" s="104"/>
      <c r="AE89" s="104"/>
      <c r="AF89" s="104"/>
      <c r="AG89" s="104"/>
      <c r="AH89" s="104"/>
      <c r="AI89" s="104"/>
      <c r="AJ89" s="104"/>
      <c r="AK89" s="104"/>
      <c r="AL89" s="147"/>
      <c r="AM89" s="146"/>
      <c r="AN89" s="542">
        <v>7</v>
      </c>
      <c r="AO89" s="826"/>
      <c r="AP89" s="827"/>
      <c r="AR89" s="104"/>
      <c r="AS89" s="104"/>
      <c r="AT89" s="104"/>
      <c r="AU89" s="104"/>
      <c r="AV89" s="104"/>
      <c r="AW89" s="104"/>
      <c r="AX89" s="104"/>
      <c r="AY89" s="104"/>
      <c r="AZ89" s="104"/>
      <c r="BA89" s="104"/>
      <c r="BB89" s="104"/>
      <c r="BC89" s="104"/>
      <c r="BD89" s="104"/>
      <c r="BE89" s="147"/>
      <c r="BF89" s="146"/>
      <c r="BG89" s="542">
        <v>7</v>
      </c>
      <c r="BH89" s="826"/>
      <c r="BI89" s="827"/>
      <c r="BK89" s="104"/>
      <c r="BL89" s="104"/>
      <c r="BM89" s="104"/>
      <c r="BN89" s="104"/>
      <c r="BO89" s="104"/>
      <c r="BP89" s="104"/>
      <c r="BQ89" s="104"/>
      <c r="BR89" s="104"/>
      <c r="BS89" s="104"/>
      <c r="BT89" s="104"/>
      <c r="BU89" s="104"/>
      <c r="BV89" s="104"/>
      <c r="BW89" s="104"/>
      <c r="BX89" s="147"/>
      <c r="BY89" s="146"/>
      <c r="BZ89" s="542">
        <v>7</v>
      </c>
      <c r="CA89" s="826"/>
      <c r="CB89" s="827"/>
      <c r="CD89" s="104"/>
      <c r="CE89" s="104"/>
      <c r="CF89" s="104"/>
      <c r="CG89" s="104"/>
      <c r="CH89" s="104"/>
      <c r="CI89" s="104"/>
      <c r="CJ89" s="104"/>
      <c r="CK89" s="104"/>
      <c r="CL89" s="104"/>
      <c r="CM89" s="104"/>
      <c r="CN89" s="104"/>
      <c r="CO89" s="104"/>
      <c r="CP89" s="104"/>
      <c r="CQ89" s="147"/>
    </row>
    <row r="90" spans="1:95">
      <c r="A90" s="146"/>
      <c r="B90" s="542">
        <v>8</v>
      </c>
      <c r="C90" s="826"/>
      <c r="D90" s="827"/>
      <c r="F90" s="104"/>
      <c r="G90" s="104"/>
      <c r="H90" s="104"/>
      <c r="I90" s="104"/>
      <c r="J90" s="104"/>
      <c r="K90" s="104"/>
      <c r="L90" s="104"/>
      <c r="M90" s="104"/>
      <c r="N90" s="104"/>
      <c r="O90" s="104"/>
      <c r="P90" s="104"/>
      <c r="Q90" s="104"/>
      <c r="R90" s="104"/>
      <c r="S90" s="147"/>
      <c r="T90" s="146"/>
      <c r="U90" s="542">
        <v>8</v>
      </c>
      <c r="V90" s="826"/>
      <c r="W90" s="827"/>
      <c r="Y90" s="104"/>
      <c r="Z90" s="104"/>
      <c r="AA90" s="104"/>
      <c r="AB90" s="104"/>
      <c r="AC90" s="104"/>
      <c r="AD90" s="104"/>
      <c r="AE90" s="104"/>
      <c r="AF90" s="104"/>
      <c r="AG90" s="104"/>
      <c r="AH90" s="104"/>
      <c r="AI90" s="104"/>
      <c r="AJ90" s="104"/>
      <c r="AK90" s="104"/>
      <c r="AL90" s="147"/>
      <c r="AM90" s="146"/>
      <c r="AN90" s="542">
        <v>8</v>
      </c>
      <c r="AO90" s="826"/>
      <c r="AP90" s="827"/>
      <c r="AR90" s="104"/>
      <c r="AS90" s="104"/>
      <c r="AT90" s="104"/>
      <c r="AU90" s="104"/>
      <c r="AV90" s="104"/>
      <c r="AW90" s="104"/>
      <c r="AX90" s="104"/>
      <c r="AY90" s="104"/>
      <c r="AZ90" s="104"/>
      <c r="BA90" s="104"/>
      <c r="BB90" s="104"/>
      <c r="BC90" s="104"/>
      <c r="BD90" s="104"/>
      <c r="BE90" s="147"/>
      <c r="BF90" s="146"/>
      <c r="BG90" s="542">
        <v>8</v>
      </c>
      <c r="BH90" s="826"/>
      <c r="BI90" s="827"/>
      <c r="BK90" s="104"/>
      <c r="BL90" s="104"/>
      <c r="BM90" s="104"/>
      <c r="BN90" s="104"/>
      <c r="BO90" s="104"/>
      <c r="BP90" s="104"/>
      <c r="BQ90" s="104"/>
      <c r="BR90" s="104"/>
      <c r="BS90" s="104"/>
      <c r="BT90" s="104"/>
      <c r="BU90" s="104"/>
      <c r="BV90" s="104"/>
      <c r="BW90" s="104"/>
      <c r="BX90" s="147"/>
      <c r="BY90" s="146"/>
      <c r="BZ90" s="542">
        <v>8</v>
      </c>
      <c r="CA90" s="826"/>
      <c r="CB90" s="827"/>
      <c r="CD90" s="104"/>
      <c r="CE90" s="104"/>
      <c r="CF90" s="104"/>
      <c r="CG90" s="104"/>
      <c r="CH90" s="104"/>
      <c r="CI90" s="104"/>
      <c r="CJ90" s="104"/>
      <c r="CK90" s="104"/>
      <c r="CL90" s="104"/>
      <c r="CM90" s="104"/>
      <c r="CN90" s="104"/>
      <c r="CO90" s="104"/>
      <c r="CP90" s="104"/>
      <c r="CQ90" s="147"/>
    </row>
    <row r="91" spans="1:95">
      <c r="A91" s="146"/>
      <c r="B91" s="542">
        <v>9</v>
      </c>
      <c r="C91" s="826"/>
      <c r="D91" s="827"/>
      <c r="F91" s="104"/>
      <c r="G91" s="104"/>
      <c r="H91" s="104"/>
      <c r="I91" s="104"/>
      <c r="J91" s="104"/>
      <c r="K91" s="104"/>
      <c r="L91" s="104"/>
      <c r="M91" s="104"/>
      <c r="N91" s="104"/>
      <c r="O91" s="104"/>
      <c r="P91" s="104"/>
      <c r="Q91" s="104"/>
      <c r="R91" s="104"/>
      <c r="S91" s="147"/>
      <c r="T91" s="146"/>
      <c r="U91" s="542">
        <v>9</v>
      </c>
      <c r="V91" s="826"/>
      <c r="W91" s="827"/>
      <c r="Y91" s="104"/>
      <c r="Z91" s="104"/>
      <c r="AA91" s="104"/>
      <c r="AB91" s="104"/>
      <c r="AC91" s="104"/>
      <c r="AD91" s="104"/>
      <c r="AE91" s="104"/>
      <c r="AF91" s="104"/>
      <c r="AG91" s="104"/>
      <c r="AH91" s="104"/>
      <c r="AI91" s="104"/>
      <c r="AJ91" s="104"/>
      <c r="AK91" s="104"/>
      <c r="AL91" s="147"/>
      <c r="AM91" s="146"/>
      <c r="AN91" s="542">
        <v>9</v>
      </c>
      <c r="AO91" s="826"/>
      <c r="AP91" s="827"/>
      <c r="AR91" s="104"/>
      <c r="AS91" s="104"/>
      <c r="AT91" s="104"/>
      <c r="AU91" s="104"/>
      <c r="AV91" s="104"/>
      <c r="AW91" s="104"/>
      <c r="AX91" s="104"/>
      <c r="AY91" s="104"/>
      <c r="AZ91" s="104"/>
      <c r="BA91" s="104"/>
      <c r="BB91" s="104"/>
      <c r="BC91" s="104"/>
      <c r="BD91" s="104"/>
      <c r="BE91" s="147"/>
      <c r="BF91" s="146"/>
      <c r="BG91" s="542">
        <v>9</v>
      </c>
      <c r="BH91" s="826"/>
      <c r="BI91" s="827"/>
      <c r="BK91" s="104"/>
      <c r="BL91" s="104"/>
      <c r="BM91" s="104"/>
      <c r="BN91" s="104"/>
      <c r="BO91" s="104"/>
      <c r="BP91" s="104"/>
      <c r="BQ91" s="104"/>
      <c r="BR91" s="104"/>
      <c r="BS91" s="104"/>
      <c r="BT91" s="104"/>
      <c r="BU91" s="104"/>
      <c r="BV91" s="104"/>
      <c r="BW91" s="104"/>
      <c r="BX91" s="147"/>
      <c r="BY91" s="146"/>
      <c r="BZ91" s="542">
        <v>9</v>
      </c>
      <c r="CA91" s="826"/>
      <c r="CB91" s="827"/>
      <c r="CD91" s="104"/>
      <c r="CE91" s="104"/>
      <c r="CF91" s="104"/>
      <c r="CG91" s="104"/>
      <c r="CH91" s="104"/>
      <c r="CI91" s="104"/>
      <c r="CJ91" s="104"/>
      <c r="CK91" s="104"/>
      <c r="CL91" s="104"/>
      <c r="CM91" s="104"/>
      <c r="CN91" s="104"/>
      <c r="CO91" s="104"/>
      <c r="CP91" s="104"/>
      <c r="CQ91" s="147"/>
    </row>
    <row r="92" spans="1:95">
      <c r="A92" s="146"/>
      <c r="B92" s="542">
        <v>10</v>
      </c>
      <c r="C92" s="826"/>
      <c r="D92" s="827"/>
      <c r="F92" s="104"/>
      <c r="G92" s="104"/>
      <c r="H92" s="104"/>
      <c r="I92" s="104"/>
      <c r="J92" s="104"/>
      <c r="K92" s="104"/>
      <c r="L92" s="104"/>
      <c r="M92" s="104"/>
      <c r="N92" s="104"/>
      <c r="O92" s="104"/>
      <c r="P92" s="104"/>
      <c r="Q92" s="104"/>
      <c r="R92" s="104"/>
      <c r="S92" s="147"/>
      <c r="T92" s="146"/>
      <c r="U92" s="542">
        <v>10</v>
      </c>
      <c r="V92" s="826"/>
      <c r="W92" s="827"/>
      <c r="Y92" s="104"/>
      <c r="Z92" s="104"/>
      <c r="AA92" s="104"/>
      <c r="AB92" s="104"/>
      <c r="AC92" s="104"/>
      <c r="AD92" s="104"/>
      <c r="AE92" s="104"/>
      <c r="AF92" s="104"/>
      <c r="AG92" s="104"/>
      <c r="AH92" s="104"/>
      <c r="AI92" s="104"/>
      <c r="AJ92" s="104"/>
      <c r="AK92" s="104"/>
      <c r="AL92" s="147"/>
      <c r="AM92" s="146"/>
      <c r="AN92" s="542">
        <v>10</v>
      </c>
      <c r="AO92" s="826"/>
      <c r="AP92" s="827"/>
      <c r="AR92" s="104"/>
      <c r="AS92" s="104"/>
      <c r="AT92" s="104"/>
      <c r="AU92" s="104"/>
      <c r="AV92" s="104"/>
      <c r="AW92" s="104"/>
      <c r="AX92" s="104"/>
      <c r="AY92" s="104"/>
      <c r="AZ92" s="104"/>
      <c r="BA92" s="104"/>
      <c r="BB92" s="104"/>
      <c r="BC92" s="104"/>
      <c r="BD92" s="104"/>
      <c r="BE92" s="147"/>
      <c r="BF92" s="146"/>
      <c r="BG92" s="542">
        <v>10</v>
      </c>
      <c r="BH92" s="826"/>
      <c r="BI92" s="827"/>
      <c r="BK92" s="104"/>
      <c r="BL92" s="104"/>
      <c r="BM92" s="104"/>
      <c r="BN92" s="104"/>
      <c r="BO92" s="104"/>
      <c r="BP92" s="104"/>
      <c r="BQ92" s="104"/>
      <c r="BR92" s="104"/>
      <c r="BS92" s="104"/>
      <c r="BT92" s="104"/>
      <c r="BU92" s="104"/>
      <c r="BV92" s="104"/>
      <c r="BW92" s="104"/>
      <c r="BX92" s="147"/>
      <c r="BY92" s="146"/>
      <c r="BZ92" s="542">
        <v>10</v>
      </c>
      <c r="CA92" s="826"/>
      <c r="CB92" s="827"/>
      <c r="CD92" s="104"/>
      <c r="CE92" s="104"/>
      <c r="CF92" s="104"/>
      <c r="CG92" s="104"/>
      <c r="CH92" s="104"/>
      <c r="CI92" s="104"/>
      <c r="CJ92" s="104"/>
      <c r="CK92" s="104"/>
      <c r="CL92" s="104"/>
      <c r="CM92" s="104"/>
      <c r="CN92" s="104"/>
      <c r="CO92" s="104"/>
      <c r="CP92" s="104"/>
      <c r="CQ92" s="147"/>
    </row>
    <row r="93" spans="1:95">
      <c r="A93" s="146"/>
      <c r="B93" s="542">
        <v>11</v>
      </c>
      <c r="C93" s="826"/>
      <c r="D93" s="827"/>
      <c r="F93" s="104"/>
      <c r="G93" s="104"/>
      <c r="H93" s="104"/>
      <c r="I93" s="104"/>
      <c r="J93" s="104"/>
      <c r="K93" s="104"/>
      <c r="L93" s="104"/>
      <c r="M93" s="104"/>
      <c r="N93" s="104"/>
      <c r="O93" s="104"/>
      <c r="P93" s="104"/>
      <c r="Q93" s="104"/>
      <c r="R93" s="104"/>
      <c r="S93" s="147"/>
      <c r="T93" s="146"/>
      <c r="U93" s="542">
        <v>11</v>
      </c>
      <c r="V93" s="826"/>
      <c r="W93" s="827"/>
      <c r="Y93" s="104"/>
      <c r="Z93" s="104"/>
      <c r="AA93" s="104"/>
      <c r="AB93" s="104"/>
      <c r="AC93" s="104"/>
      <c r="AD93" s="104"/>
      <c r="AE93" s="104"/>
      <c r="AF93" s="104"/>
      <c r="AG93" s="104"/>
      <c r="AH93" s="104"/>
      <c r="AI93" s="104"/>
      <c r="AJ93" s="104"/>
      <c r="AK93" s="104"/>
      <c r="AL93" s="147"/>
      <c r="AM93" s="146"/>
      <c r="AN93" s="542">
        <v>11</v>
      </c>
      <c r="AO93" s="826"/>
      <c r="AP93" s="827"/>
      <c r="AR93" s="104"/>
      <c r="AS93" s="104"/>
      <c r="AT93" s="104"/>
      <c r="AU93" s="104"/>
      <c r="AV93" s="104"/>
      <c r="AW93" s="104"/>
      <c r="AX93" s="104"/>
      <c r="AY93" s="104"/>
      <c r="AZ93" s="104"/>
      <c r="BA93" s="104"/>
      <c r="BB93" s="104"/>
      <c r="BC93" s="104"/>
      <c r="BD93" s="104"/>
      <c r="BE93" s="147"/>
      <c r="BF93" s="146"/>
      <c r="BG93" s="542">
        <v>11</v>
      </c>
      <c r="BH93" s="826"/>
      <c r="BI93" s="827"/>
      <c r="BK93" s="104"/>
      <c r="BL93" s="104"/>
      <c r="BM93" s="104"/>
      <c r="BN93" s="104"/>
      <c r="BO93" s="104"/>
      <c r="BP93" s="104"/>
      <c r="BQ93" s="104"/>
      <c r="BR93" s="104"/>
      <c r="BS93" s="104"/>
      <c r="BT93" s="104"/>
      <c r="BU93" s="104"/>
      <c r="BV93" s="104"/>
      <c r="BW93" s="104"/>
      <c r="BX93" s="147"/>
      <c r="BY93" s="146"/>
      <c r="BZ93" s="542">
        <v>11</v>
      </c>
      <c r="CA93" s="826"/>
      <c r="CB93" s="827"/>
      <c r="CD93" s="104"/>
      <c r="CE93" s="104"/>
      <c r="CF93" s="104"/>
      <c r="CG93" s="104"/>
      <c r="CH93" s="104"/>
      <c r="CI93" s="104"/>
      <c r="CJ93" s="104"/>
      <c r="CK93" s="104"/>
      <c r="CL93" s="104"/>
      <c r="CM93" s="104"/>
      <c r="CN93" s="104"/>
      <c r="CO93" s="104"/>
      <c r="CP93" s="104"/>
      <c r="CQ93" s="147"/>
    </row>
    <row r="94" spans="1:95">
      <c r="A94" s="146"/>
      <c r="B94" s="542">
        <v>12</v>
      </c>
      <c r="C94" s="826"/>
      <c r="D94" s="827"/>
      <c r="F94" s="104"/>
      <c r="G94" s="104"/>
      <c r="H94" s="104"/>
      <c r="I94" s="104"/>
      <c r="J94" s="104"/>
      <c r="K94" s="104"/>
      <c r="L94" s="104"/>
      <c r="M94" s="104"/>
      <c r="N94" s="104"/>
      <c r="O94" s="104"/>
      <c r="P94" s="104"/>
      <c r="Q94" s="104"/>
      <c r="R94" s="104"/>
      <c r="S94" s="147"/>
      <c r="T94" s="146"/>
      <c r="U94" s="542">
        <v>12</v>
      </c>
      <c r="V94" s="826"/>
      <c r="W94" s="827"/>
      <c r="Y94" s="104"/>
      <c r="Z94" s="104"/>
      <c r="AA94" s="104"/>
      <c r="AB94" s="104"/>
      <c r="AC94" s="104"/>
      <c r="AD94" s="104"/>
      <c r="AE94" s="104"/>
      <c r="AF94" s="104"/>
      <c r="AG94" s="104"/>
      <c r="AH94" s="104"/>
      <c r="AI94" s="104"/>
      <c r="AJ94" s="104"/>
      <c r="AK94" s="104"/>
      <c r="AL94" s="147"/>
      <c r="AM94" s="146"/>
      <c r="AN94" s="542">
        <v>12</v>
      </c>
      <c r="AO94" s="826"/>
      <c r="AP94" s="827"/>
      <c r="AR94" s="104"/>
      <c r="AS94" s="104"/>
      <c r="AT94" s="104"/>
      <c r="AU94" s="104"/>
      <c r="AV94" s="104"/>
      <c r="AW94" s="104"/>
      <c r="AX94" s="104"/>
      <c r="AY94" s="104"/>
      <c r="AZ94" s="104"/>
      <c r="BA94" s="104"/>
      <c r="BB94" s="104"/>
      <c r="BC94" s="104"/>
      <c r="BD94" s="104"/>
      <c r="BE94" s="147"/>
      <c r="BF94" s="146"/>
      <c r="BG94" s="542">
        <v>12</v>
      </c>
      <c r="BH94" s="826"/>
      <c r="BI94" s="827"/>
      <c r="BK94" s="104"/>
      <c r="BL94" s="104"/>
      <c r="BM94" s="104"/>
      <c r="BN94" s="104"/>
      <c r="BO94" s="104"/>
      <c r="BP94" s="104"/>
      <c r="BQ94" s="104"/>
      <c r="BR94" s="104"/>
      <c r="BS94" s="104"/>
      <c r="BT94" s="104"/>
      <c r="BU94" s="104"/>
      <c r="BV94" s="104"/>
      <c r="BW94" s="104"/>
      <c r="BX94" s="147"/>
      <c r="BY94" s="146"/>
      <c r="BZ94" s="542">
        <v>12</v>
      </c>
      <c r="CA94" s="826"/>
      <c r="CB94" s="827"/>
      <c r="CD94" s="104"/>
      <c r="CE94" s="104"/>
      <c r="CF94" s="104"/>
      <c r="CG94" s="104"/>
      <c r="CH94" s="104"/>
      <c r="CI94" s="104"/>
      <c r="CJ94" s="104"/>
      <c r="CK94" s="104"/>
      <c r="CL94" s="104"/>
      <c r="CM94" s="104"/>
      <c r="CN94" s="104"/>
      <c r="CO94" s="104"/>
      <c r="CP94" s="104"/>
      <c r="CQ94" s="147"/>
    </row>
    <row r="95" spans="1:95">
      <c r="A95" s="146"/>
      <c r="B95" s="542">
        <v>13</v>
      </c>
      <c r="C95" s="826"/>
      <c r="D95" s="827"/>
      <c r="F95" s="104"/>
      <c r="G95" s="104"/>
      <c r="H95" s="104"/>
      <c r="I95" s="104"/>
      <c r="J95" s="104"/>
      <c r="K95" s="104"/>
      <c r="L95" s="104"/>
      <c r="M95" s="104"/>
      <c r="N95" s="104"/>
      <c r="O95" s="104"/>
      <c r="P95" s="104"/>
      <c r="Q95" s="104"/>
      <c r="R95" s="104"/>
      <c r="S95" s="147"/>
      <c r="T95" s="146"/>
      <c r="U95" s="542">
        <v>13</v>
      </c>
      <c r="V95" s="826"/>
      <c r="W95" s="827"/>
      <c r="Y95" s="104"/>
      <c r="Z95" s="104"/>
      <c r="AA95" s="104"/>
      <c r="AB95" s="104"/>
      <c r="AC95" s="104"/>
      <c r="AD95" s="104"/>
      <c r="AE95" s="104"/>
      <c r="AF95" s="104"/>
      <c r="AG95" s="104"/>
      <c r="AH95" s="104"/>
      <c r="AI95" s="104"/>
      <c r="AJ95" s="104"/>
      <c r="AK95" s="104"/>
      <c r="AL95" s="147"/>
      <c r="AM95" s="146"/>
      <c r="AN95" s="542">
        <v>13</v>
      </c>
      <c r="AO95" s="826"/>
      <c r="AP95" s="827"/>
      <c r="AR95" s="104"/>
      <c r="AS95" s="104"/>
      <c r="AT95" s="104"/>
      <c r="AU95" s="104"/>
      <c r="AV95" s="104"/>
      <c r="AW95" s="104"/>
      <c r="AX95" s="104"/>
      <c r="AY95" s="104"/>
      <c r="AZ95" s="104"/>
      <c r="BA95" s="104"/>
      <c r="BB95" s="104"/>
      <c r="BC95" s="104"/>
      <c r="BD95" s="104"/>
      <c r="BE95" s="147"/>
      <c r="BF95" s="146"/>
      <c r="BG95" s="542">
        <v>13</v>
      </c>
      <c r="BH95" s="826"/>
      <c r="BI95" s="827"/>
      <c r="BK95" s="104"/>
      <c r="BL95" s="104"/>
      <c r="BM95" s="104"/>
      <c r="BN95" s="104"/>
      <c r="BO95" s="104"/>
      <c r="BP95" s="104"/>
      <c r="BQ95" s="104"/>
      <c r="BR95" s="104"/>
      <c r="BS95" s="104"/>
      <c r="BT95" s="104"/>
      <c r="BU95" s="104"/>
      <c r="BV95" s="104"/>
      <c r="BW95" s="104"/>
      <c r="BX95" s="147"/>
      <c r="BY95" s="146"/>
      <c r="BZ95" s="542">
        <v>13</v>
      </c>
      <c r="CA95" s="826"/>
      <c r="CB95" s="827"/>
      <c r="CD95" s="104"/>
      <c r="CE95" s="104"/>
      <c r="CF95" s="104"/>
      <c r="CG95" s="104"/>
      <c r="CH95" s="104"/>
      <c r="CI95" s="104"/>
      <c r="CJ95" s="104"/>
      <c r="CK95" s="104"/>
      <c r="CL95" s="104"/>
      <c r="CM95" s="104"/>
      <c r="CN95" s="104"/>
      <c r="CO95" s="104"/>
      <c r="CP95" s="104"/>
      <c r="CQ95" s="147"/>
    </row>
    <row r="96" spans="1:95">
      <c r="A96" s="146"/>
      <c r="B96" s="542">
        <v>14</v>
      </c>
      <c r="C96" s="826"/>
      <c r="D96" s="827"/>
      <c r="F96" s="104"/>
      <c r="G96" s="104"/>
      <c r="H96" s="104"/>
      <c r="I96" s="104"/>
      <c r="J96" s="104"/>
      <c r="K96" s="104"/>
      <c r="L96" s="104"/>
      <c r="M96" s="104"/>
      <c r="N96" s="104"/>
      <c r="O96" s="104"/>
      <c r="P96" s="104"/>
      <c r="Q96" s="104"/>
      <c r="R96" s="104"/>
      <c r="S96" s="147"/>
      <c r="T96" s="146"/>
      <c r="U96" s="542">
        <v>14</v>
      </c>
      <c r="V96" s="826"/>
      <c r="W96" s="827"/>
      <c r="Y96" s="104"/>
      <c r="Z96" s="104"/>
      <c r="AA96" s="104"/>
      <c r="AB96" s="104"/>
      <c r="AC96" s="104"/>
      <c r="AD96" s="104"/>
      <c r="AE96" s="104"/>
      <c r="AF96" s="104"/>
      <c r="AG96" s="104"/>
      <c r="AH96" s="104"/>
      <c r="AI96" s="104"/>
      <c r="AJ96" s="104"/>
      <c r="AK96" s="104"/>
      <c r="AL96" s="147"/>
      <c r="AM96" s="146"/>
      <c r="AN96" s="542">
        <v>14</v>
      </c>
      <c r="AO96" s="826"/>
      <c r="AP96" s="827"/>
      <c r="AR96" s="104"/>
      <c r="AS96" s="104"/>
      <c r="AT96" s="104"/>
      <c r="AU96" s="104"/>
      <c r="AV96" s="104"/>
      <c r="AW96" s="104"/>
      <c r="AX96" s="104"/>
      <c r="AY96" s="104"/>
      <c r="AZ96" s="104"/>
      <c r="BA96" s="104"/>
      <c r="BB96" s="104"/>
      <c r="BC96" s="104"/>
      <c r="BD96" s="104"/>
      <c r="BE96" s="147"/>
      <c r="BF96" s="146"/>
      <c r="BG96" s="542">
        <v>14</v>
      </c>
      <c r="BH96" s="826"/>
      <c r="BI96" s="827"/>
      <c r="BK96" s="104"/>
      <c r="BL96" s="104"/>
      <c r="BM96" s="104"/>
      <c r="BN96" s="104"/>
      <c r="BO96" s="104"/>
      <c r="BP96" s="104"/>
      <c r="BQ96" s="104"/>
      <c r="BR96" s="104"/>
      <c r="BS96" s="104"/>
      <c r="BT96" s="104"/>
      <c r="BU96" s="104"/>
      <c r="BV96" s="104"/>
      <c r="BW96" s="104"/>
      <c r="BX96" s="147"/>
      <c r="BY96" s="146"/>
      <c r="BZ96" s="542">
        <v>14</v>
      </c>
      <c r="CA96" s="826"/>
      <c r="CB96" s="827"/>
      <c r="CD96" s="104"/>
      <c r="CE96" s="104"/>
      <c r="CF96" s="104"/>
      <c r="CG96" s="104"/>
      <c r="CH96" s="104"/>
      <c r="CI96" s="104"/>
      <c r="CJ96" s="104"/>
      <c r="CK96" s="104"/>
      <c r="CL96" s="104"/>
      <c r="CM96" s="104"/>
      <c r="CN96" s="104"/>
      <c r="CO96" s="104"/>
      <c r="CP96" s="104"/>
      <c r="CQ96" s="147"/>
    </row>
    <row r="97" spans="1:95">
      <c r="A97" s="146"/>
      <c r="B97" s="542">
        <v>15</v>
      </c>
      <c r="C97" s="826"/>
      <c r="D97" s="827"/>
      <c r="F97" s="104"/>
      <c r="G97" s="104"/>
      <c r="H97" s="104"/>
      <c r="I97" s="104"/>
      <c r="J97" s="104"/>
      <c r="K97" s="104"/>
      <c r="L97" s="104"/>
      <c r="M97" s="104"/>
      <c r="N97" s="104"/>
      <c r="O97" s="104"/>
      <c r="P97" s="104"/>
      <c r="Q97" s="104"/>
      <c r="R97" s="104"/>
      <c r="S97" s="147"/>
      <c r="T97" s="146"/>
      <c r="U97" s="542">
        <v>15</v>
      </c>
      <c r="V97" s="826"/>
      <c r="W97" s="827"/>
      <c r="Y97" s="104"/>
      <c r="Z97" s="104"/>
      <c r="AA97" s="104"/>
      <c r="AB97" s="104"/>
      <c r="AC97" s="104"/>
      <c r="AD97" s="104"/>
      <c r="AE97" s="104"/>
      <c r="AF97" s="104"/>
      <c r="AG97" s="104"/>
      <c r="AH97" s="104"/>
      <c r="AI97" s="104"/>
      <c r="AJ97" s="104"/>
      <c r="AK97" s="104"/>
      <c r="AL97" s="147"/>
      <c r="AM97" s="146"/>
      <c r="AN97" s="542">
        <v>15</v>
      </c>
      <c r="AO97" s="826"/>
      <c r="AP97" s="827"/>
      <c r="AR97" s="104"/>
      <c r="AS97" s="104"/>
      <c r="AT97" s="104"/>
      <c r="AU97" s="104"/>
      <c r="AV97" s="104"/>
      <c r="AW97" s="104"/>
      <c r="AX97" s="104"/>
      <c r="AY97" s="104"/>
      <c r="AZ97" s="104"/>
      <c r="BA97" s="104"/>
      <c r="BB97" s="104"/>
      <c r="BC97" s="104"/>
      <c r="BD97" s="104"/>
      <c r="BE97" s="147"/>
      <c r="BF97" s="146"/>
      <c r="BG97" s="542">
        <v>15</v>
      </c>
      <c r="BH97" s="826"/>
      <c r="BI97" s="827"/>
      <c r="BK97" s="104"/>
      <c r="BL97" s="104"/>
      <c r="BM97" s="104"/>
      <c r="BN97" s="104"/>
      <c r="BO97" s="104"/>
      <c r="BP97" s="104"/>
      <c r="BQ97" s="104"/>
      <c r="BR97" s="104"/>
      <c r="BS97" s="104"/>
      <c r="BT97" s="104"/>
      <c r="BU97" s="104"/>
      <c r="BV97" s="104"/>
      <c r="BW97" s="104"/>
      <c r="BX97" s="147"/>
      <c r="BY97" s="146"/>
      <c r="BZ97" s="542">
        <v>15</v>
      </c>
      <c r="CA97" s="826"/>
      <c r="CB97" s="827"/>
      <c r="CD97" s="104"/>
      <c r="CE97" s="104"/>
      <c r="CF97" s="104"/>
      <c r="CG97" s="104"/>
      <c r="CH97" s="104"/>
      <c r="CI97" s="104"/>
      <c r="CJ97" s="104"/>
      <c r="CK97" s="104"/>
      <c r="CL97" s="104"/>
      <c r="CM97" s="104"/>
      <c r="CN97" s="104"/>
      <c r="CO97" s="104"/>
      <c r="CP97" s="104"/>
      <c r="CQ97" s="147"/>
    </row>
    <row r="98" spans="1:95">
      <c r="A98" s="146"/>
      <c r="B98" s="542">
        <v>16</v>
      </c>
      <c r="C98" s="826"/>
      <c r="D98" s="827"/>
      <c r="F98" s="104"/>
      <c r="G98" s="104"/>
      <c r="H98" s="104"/>
      <c r="I98" s="104"/>
      <c r="J98" s="104"/>
      <c r="K98" s="104"/>
      <c r="L98" s="104"/>
      <c r="M98" s="104"/>
      <c r="N98" s="104"/>
      <c r="O98" s="104"/>
      <c r="P98" s="104"/>
      <c r="Q98" s="104"/>
      <c r="R98" s="104"/>
      <c r="S98" s="147"/>
      <c r="T98" s="146"/>
      <c r="U98" s="542">
        <v>16</v>
      </c>
      <c r="V98" s="826"/>
      <c r="W98" s="827"/>
      <c r="Y98" s="104"/>
      <c r="Z98" s="104"/>
      <c r="AA98" s="104"/>
      <c r="AB98" s="104"/>
      <c r="AC98" s="104"/>
      <c r="AD98" s="104"/>
      <c r="AE98" s="104"/>
      <c r="AF98" s="104"/>
      <c r="AG98" s="104"/>
      <c r="AH98" s="104"/>
      <c r="AI98" s="104"/>
      <c r="AJ98" s="104"/>
      <c r="AK98" s="104"/>
      <c r="AL98" s="147"/>
      <c r="AM98" s="146"/>
      <c r="AN98" s="542">
        <v>16</v>
      </c>
      <c r="AO98" s="826"/>
      <c r="AP98" s="827"/>
      <c r="AR98" s="104"/>
      <c r="AS98" s="104"/>
      <c r="AT98" s="104"/>
      <c r="AU98" s="104"/>
      <c r="AV98" s="104"/>
      <c r="AW98" s="104"/>
      <c r="AX98" s="104"/>
      <c r="AY98" s="104"/>
      <c r="AZ98" s="104"/>
      <c r="BA98" s="104"/>
      <c r="BB98" s="104"/>
      <c r="BC98" s="104"/>
      <c r="BD98" s="104"/>
      <c r="BE98" s="147"/>
      <c r="BF98" s="146"/>
      <c r="BG98" s="542">
        <v>16</v>
      </c>
      <c r="BH98" s="826"/>
      <c r="BI98" s="827"/>
      <c r="BK98" s="104"/>
      <c r="BL98" s="104"/>
      <c r="BM98" s="104"/>
      <c r="BN98" s="104"/>
      <c r="BO98" s="104"/>
      <c r="BP98" s="104"/>
      <c r="BQ98" s="104"/>
      <c r="BR98" s="104"/>
      <c r="BS98" s="104"/>
      <c r="BT98" s="104"/>
      <c r="BU98" s="104"/>
      <c r="BV98" s="104"/>
      <c r="BW98" s="104"/>
      <c r="BX98" s="147"/>
      <c r="BY98" s="146"/>
      <c r="BZ98" s="542">
        <v>16</v>
      </c>
      <c r="CA98" s="826"/>
      <c r="CB98" s="827"/>
      <c r="CD98" s="104"/>
      <c r="CE98" s="104"/>
      <c r="CF98" s="104"/>
      <c r="CG98" s="104"/>
      <c r="CH98" s="104"/>
      <c r="CI98" s="104"/>
      <c r="CJ98" s="104"/>
      <c r="CK98" s="104"/>
      <c r="CL98" s="104"/>
      <c r="CM98" s="104"/>
      <c r="CN98" s="104"/>
      <c r="CO98" s="104"/>
      <c r="CP98" s="104"/>
      <c r="CQ98" s="147"/>
    </row>
    <row r="99" spans="1:95">
      <c r="A99" s="146"/>
      <c r="B99" s="542">
        <v>17</v>
      </c>
      <c r="C99" s="826"/>
      <c r="D99" s="827"/>
      <c r="F99" s="104"/>
      <c r="G99" s="104"/>
      <c r="H99" s="104"/>
      <c r="I99" s="104"/>
      <c r="J99" s="104"/>
      <c r="K99" s="104"/>
      <c r="L99" s="104"/>
      <c r="M99" s="104"/>
      <c r="N99" s="104"/>
      <c r="O99" s="104"/>
      <c r="P99" s="104"/>
      <c r="Q99" s="104"/>
      <c r="R99" s="104"/>
      <c r="S99" s="147"/>
      <c r="T99" s="146"/>
      <c r="U99" s="542">
        <v>17</v>
      </c>
      <c r="V99" s="826"/>
      <c r="W99" s="827"/>
      <c r="Y99" s="104"/>
      <c r="Z99" s="104"/>
      <c r="AA99" s="104"/>
      <c r="AB99" s="104"/>
      <c r="AC99" s="104"/>
      <c r="AD99" s="104"/>
      <c r="AE99" s="104"/>
      <c r="AF99" s="104"/>
      <c r="AG99" s="104"/>
      <c r="AH99" s="104"/>
      <c r="AI99" s="104"/>
      <c r="AJ99" s="104"/>
      <c r="AK99" s="104"/>
      <c r="AL99" s="147"/>
      <c r="AM99" s="146"/>
      <c r="AN99" s="542">
        <v>17</v>
      </c>
      <c r="AO99" s="826"/>
      <c r="AP99" s="827"/>
      <c r="AR99" s="104"/>
      <c r="AS99" s="104"/>
      <c r="AT99" s="104"/>
      <c r="AU99" s="104"/>
      <c r="AV99" s="104"/>
      <c r="AW99" s="104"/>
      <c r="AX99" s="104"/>
      <c r="AY99" s="104"/>
      <c r="AZ99" s="104"/>
      <c r="BA99" s="104"/>
      <c r="BB99" s="104"/>
      <c r="BC99" s="104"/>
      <c r="BD99" s="104"/>
      <c r="BE99" s="147"/>
      <c r="BF99" s="146"/>
      <c r="BG99" s="542">
        <v>17</v>
      </c>
      <c r="BH99" s="826"/>
      <c r="BI99" s="827"/>
      <c r="BK99" s="104"/>
      <c r="BL99" s="104"/>
      <c r="BM99" s="104"/>
      <c r="BN99" s="104"/>
      <c r="BO99" s="104"/>
      <c r="BP99" s="104"/>
      <c r="BQ99" s="104"/>
      <c r="BR99" s="104"/>
      <c r="BS99" s="104"/>
      <c r="BT99" s="104"/>
      <c r="BU99" s="104"/>
      <c r="BV99" s="104"/>
      <c r="BW99" s="104"/>
      <c r="BX99" s="147"/>
      <c r="BY99" s="146"/>
      <c r="BZ99" s="542">
        <v>17</v>
      </c>
      <c r="CA99" s="826"/>
      <c r="CB99" s="827"/>
      <c r="CD99" s="104"/>
      <c r="CE99" s="104"/>
      <c r="CF99" s="104"/>
      <c r="CG99" s="104"/>
      <c r="CH99" s="104"/>
      <c r="CI99" s="104"/>
      <c r="CJ99" s="104"/>
      <c r="CK99" s="104"/>
      <c r="CL99" s="104"/>
      <c r="CM99" s="104"/>
      <c r="CN99" s="104"/>
      <c r="CO99" s="104"/>
      <c r="CP99" s="104"/>
      <c r="CQ99" s="147"/>
    </row>
    <row r="100" spans="1:95">
      <c r="A100" s="146"/>
      <c r="B100" s="542">
        <v>18</v>
      </c>
      <c r="C100" s="826"/>
      <c r="D100" s="827"/>
      <c r="F100" s="104"/>
      <c r="G100" s="104"/>
      <c r="H100" s="104"/>
      <c r="I100" s="104"/>
      <c r="J100" s="104"/>
      <c r="K100" s="104"/>
      <c r="L100" s="104"/>
      <c r="M100" s="104"/>
      <c r="N100" s="104"/>
      <c r="O100" s="104"/>
      <c r="P100" s="104"/>
      <c r="Q100" s="104"/>
      <c r="R100" s="104"/>
      <c r="S100" s="147"/>
      <c r="T100" s="146"/>
      <c r="U100" s="542">
        <v>18</v>
      </c>
      <c r="V100" s="826"/>
      <c r="W100" s="827"/>
      <c r="Y100" s="104"/>
      <c r="Z100" s="104"/>
      <c r="AA100" s="104"/>
      <c r="AB100" s="104"/>
      <c r="AC100" s="104"/>
      <c r="AD100" s="104"/>
      <c r="AE100" s="104"/>
      <c r="AF100" s="104"/>
      <c r="AG100" s="104"/>
      <c r="AH100" s="104"/>
      <c r="AI100" s="104"/>
      <c r="AJ100" s="104"/>
      <c r="AK100" s="104"/>
      <c r="AL100" s="147"/>
      <c r="AM100" s="146"/>
      <c r="AN100" s="542">
        <v>18</v>
      </c>
      <c r="AO100" s="826"/>
      <c r="AP100" s="827"/>
      <c r="AR100" s="104"/>
      <c r="AS100" s="104"/>
      <c r="AT100" s="104"/>
      <c r="AU100" s="104"/>
      <c r="AV100" s="104"/>
      <c r="AW100" s="104"/>
      <c r="AX100" s="104"/>
      <c r="AY100" s="104"/>
      <c r="AZ100" s="104"/>
      <c r="BA100" s="104"/>
      <c r="BB100" s="104"/>
      <c r="BC100" s="104"/>
      <c r="BD100" s="104"/>
      <c r="BE100" s="147"/>
      <c r="BF100" s="146"/>
      <c r="BG100" s="542">
        <v>18</v>
      </c>
      <c r="BH100" s="826"/>
      <c r="BI100" s="827"/>
      <c r="BK100" s="104"/>
      <c r="BL100" s="104"/>
      <c r="BM100" s="104"/>
      <c r="BN100" s="104"/>
      <c r="BO100" s="104"/>
      <c r="BP100" s="104"/>
      <c r="BQ100" s="104"/>
      <c r="BR100" s="104"/>
      <c r="BS100" s="104"/>
      <c r="BT100" s="104"/>
      <c r="BU100" s="104"/>
      <c r="BV100" s="104"/>
      <c r="BW100" s="104"/>
      <c r="BX100" s="147"/>
      <c r="BY100" s="146"/>
      <c r="BZ100" s="542">
        <v>18</v>
      </c>
      <c r="CA100" s="826"/>
      <c r="CB100" s="827"/>
      <c r="CD100" s="104"/>
      <c r="CE100" s="104"/>
      <c r="CF100" s="104"/>
      <c r="CG100" s="104"/>
      <c r="CH100" s="104"/>
      <c r="CI100" s="104"/>
      <c r="CJ100" s="104"/>
      <c r="CK100" s="104"/>
      <c r="CL100" s="104"/>
      <c r="CM100" s="104"/>
      <c r="CN100" s="104"/>
      <c r="CO100" s="104"/>
      <c r="CP100" s="104"/>
      <c r="CQ100" s="147"/>
    </row>
    <row r="101" spans="1:95">
      <c r="A101" s="146"/>
      <c r="B101" s="542">
        <v>19</v>
      </c>
      <c r="C101" s="826"/>
      <c r="D101" s="827"/>
      <c r="F101" s="104"/>
      <c r="G101" s="104"/>
      <c r="H101" s="104"/>
      <c r="I101" s="104"/>
      <c r="J101" s="104"/>
      <c r="K101" s="104"/>
      <c r="L101" s="104"/>
      <c r="M101" s="104"/>
      <c r="N101" s="104"/>
      <c r="O101" s="104"/>
      <c r="P101" s="104"/>
      <c r="Q101" s="104"/>
      <c r="R101" s="104"/>
      <c r="S101" s="147"/>
      <c r="T101" s="146"/>
      <c r="U101" s="542">
        <v>19</v>
      </c>
      <c r="V101" s="826"/>
      <c r="W101" s="827"/>
      <c r="Y101" s="104"/>
      <c r="Z101" s="104"/>
      <c r="AA101" s="104"/>
      <c r="AB101" s="104"/>
      <c r="AC101" s="104"/>
      <c r="AD101" s="104"/>
      <c r="AE101" s="104"/>
      <c r="AF101" s="104"/>
      <c r="AG101" s="104"/>
      <c r="AH101" s="104"/>
      <c r="AI101" s="104"/>
      <c r="AJ101" s="104"/>
      <c r="AK101" s="104"/>
      <c r="AL101" s="147"/>
      <c r="AM101" s="146"/>
      <c r="AN101" s="542">
        <v>19</v>
      </c>
      <c r="AO101" s="826"/>
      <c r="AP101" s="827"/>
      <c r="AR101" s="104"/>
      <c r="AS101" s="104"/>
      <c r="AT101" s="104"/>
      <c r="AU101" s="104"/>
      <c r="AV101" s="104"/>
      <c r="AW101" s="104"/>
      <c r="AX101" s="104"/>
      <c r="AY101" s="104"/>
      <c r="AZ101" s="104"/>
      <c r="BA101" s="104"/>
      <c r="BB101" s="104"/>
      <c r="BC101" s="104"/>
      <c r="BD101" s="104"/>
      <c r="BE101" s="147"/>
      <c r="BF101" s="146"/>
      <c r="BG101" s="542">
        <v>19</v>
      </c>
      <c r="BH101" s="826"/>
      <c r="BI101" s="827"/>
      <c r="BK101" s="104"/>
      <c r="BL101" s="104"/>
      <c r="BM101" s="104"/>
      <c r="BN101" s="104"/>
      <c r="BO101" s="104"/>
      <c r="BP101" s="104"/>
      <c r="BQ101" s="104"/>
      <c r="BR101" s="104"/>
      <c r="BS101" s="104"/>
      <c r="BT101" s="104"/>
      <c r="BU101" s="104"/>
      <c r="BV101" s="104"/>
      <c r="BW101" s="104"/>
      <c r="BX101" s="147"/>
      <c r="BY101" s="146"/>
      <c r="BZ101" s="542">
        <v>19</v>
      </c>
      <c r="CA101" s="826"/>
      <c r="CB101" s="827"/>
      <c r="CD101" s="104"/>
      <c r="CE101" s="104"/>
      <c r="CF101" s="104"/>
      <c r="CG101" s="104"/>
      <c r="CH101" s="104"/>
      <c r="CI101" s="104"/>
      <c r="CJ101" s="104"/>
      <c r="CK101" s="104"/>
      <c r="CL101" s="104"/>
      <c r="CM101" s="104"/>
      <c r="CN101" s="104"/>
      <c r="CO101" s="104"/>
      <c r="CP101" s="104"/>
      <c r="CQ101" s="147"/>
    </row>
    <row r="102" spans="1:95">
      <c r="A102" s="146"/>
      <c r="B102" s="542">
        <v>20</v>
      </c>
      <c r="C102" s="826"/>
      <c r="D102" s="827"/>
      <c r="F102" s="104"/>
      <c r="G102" s="104"/>
      <c r="H102" s="104"/>
      <c r="I102" s="104"/>
      <c r="J102" s="104"/>
      <c r="K102" s="104"/>
      <c r="L102" s="104"/>
      <c r="M102" s="104"/>
      <c r="N102" s="104"/>
      <c r="O102" s="104"/>
      <c r="P102" s="104"/>
      <c r="Q102" s="104"/>
      <c r="R102" s="104"/>
      <c r="S102" s="147"/>
      <c r="T102" s="146"/>
      <c r="U102" s="542">
        <v>20</v>
      </c>
      <c r="V102" s="826"/>
      <c r="W102" s="827"/>
      <c r="Y102" s="104"/>
      <c r="Z102" s="104"/>
      <c r="AA102" s="104"/>
      <c r="AB102" s="104"/>
      <c r="AC102" s="104"/>
      <c r="AD102" s="104"/>
      <c r="AE102" s="104"/>
      <c r="AF102" s="104"/>
      <c r="AG102" s="104"/>
      <c r="AH102" s="104"/>
      <c r="AI102" s="104"/>
      <c r="AJ102" s="104"/>
      <c r="AK102" s="104"/>
      <c r="AL102" s="147"/>
      <c r="AM102" s="146"/>
      <c r="AN102" s="542">
        <v>20</v>
      </c>
      <c r="AO102" s="826"/>
      <c r="AP102" s="827"/>
      <c r="AR102" s="104"/>
      <c r="AS102" s="104"/>
      <c r="AT102" s="104"/>
      <c r="AU102" s="104"/>
      <c r="AV102" s="104"/>
      <c r="AW102" s="104"/>
      <c r="AX102" s="104"/>
      <c r="AY102" s="104"/>
      <c r="AZ102" s="104"/>
      <c r="BA102" s="104"/>
      <c r="BB102" s="104"/>
      <c r="BC102" s="104"/>
      <c r="BD102" s="104"/>
      <c r="BE102" s="147"/>
      <c r="BF102" s="146"/>
      <c r="BG102" s="542">
        <v>20</v>
      </c>
      <c r="BH102" s="826"/>
      <c r="BI102" s="827"/>
      <c r="BK102" s="104"/>
      <c r="BL102" s="104"/>
      <c r="BM102" s="104"/>
      <c r="BN102" s="104"/>
      <c r="BO102" s="104"/>
      <c r="BP102" s="104"/>
      <c r="BQ102" s="104"/>
      <c r="BR102" s="104"/>
      <c r="BS102" s="104"/>
      <c r="BT102" s="104"/>
      <c r="BU102" s="104"/>
      <c r="BV102" s="104"/>
      <c r="BW102" s="104"/>
      <c r="BX102" s="147"/>
      <c r="BY102" s="146"/>
      <c r="BZ102" s="542">
        <v>20</v>
      </c>
      <c r="CA102" s="826"/>
      <c r="CB102" s="827"/>
      <c r="CD102" s="104"/>
      <c r="CE102" s="104"/>
      <c r="CF102" s="104"/>
      <c r="CG102" s="104"/>
      <c r="CH102" s="104"/>
      <c r="CI102" s="104"/>
      <c r="CJ102" s="104"/>
      <c r="CK102" s="104"/>
      <c r="CL102" s="104"/>
      <c r="CM102" s="104"/>
      <c r="CN102" s="104"/>
      <c r="CO102" s="104"/>
      <c r="CP102" s="104"/>
      <c r="CQ102" s="147"/>
    </row>
    <row r="103" spans="1:95">
      <c r="A103" s="146"/>
      <c r="B103" s="542">
        <v>21</v>
      </c>
      <c r="C103" s="826"/>
      <c r="D103" s="827"/>
      <c r="F103" s="104"/>
      <c r="G103" s="104"/>
      <c r="H103" s="104"/>
      <c r="I103" s="104"/>
      <c r="J103" s="104"/>
      <c r="K103" s="104"/>
      <c r="L103" s="104"/>
      <c r="M103" s="104"/>
      <c r="N103" s="104"/>
      <c r="O103" s="104"/>
      <c r="P103" s="104"/>
      <c r="Q103" s="104"/>
      <c r="R103" s="104"/>
      <c r="S103" s="147"/>
      <c r="T103" s="146"/>
      <c r="U103" s="542">
        <v>21</v>
      </c>
      <c r="V103" s="826"/>
      <c r="W103" s="827"/>
      <c r="Y103" s="104"/>
      <c r="Z103" s="104"/>
      <c r="AA103" s="104"/>
      <c r="AB103" s="104"/>
      <c r="AC103" s="104"/>
      <c r="AD103" s="104"/>
      <c r="AE103" s="104"/>
      <c r="AF103" s="104"/>
      <c r="AG103" s="104"/>
      <c r="AH103" s="104"/>
      <c r="AI103" s="104"/>
      <c r="AJ103" s="104"/>
      <c r="AK103" s="104"/>
      <c r="AL103" s="147"/>
      <c r="AM103" s="146"/>
      <c r="AN103" s="542">
        <v>21</v>
      </c>
      <c r="AO103" s="826"/>
      <c r="AP103" s="827"/>
      <c r="AR103" s="104"/>
      <c r="AS103" s="104"/>
      <c r="AT103" s="104"/>
      <c r="AU103" s="104"/>
      <c r="AV103" s="104"/>
      <c r="AW103" s="104"/>
      <c r="AX103" s="104"/>
      <c r="AY103" s="104"/>
      <c r="AZ103" s="104"/>
      <c r="BA103" s="104"/>
      <c r="BB103" s="104"/>
      <c r="BC103" s="104"/>
      <c r="BD103" s="104"/>
      <c r="BE103" s="147"/>
      <c r="BF103" s="146"/>
      <c r="BG103" s="542">
        <v>21</v>
      </c>
      <c r="BH103" s="826"/>
      <c r="BI103" s="827"/>
      <c r="BK103" s="104"/>
      <c r="BL103" s="104"/>
      <c r="BM103" s="104"/>
      <c r="BN103" s="104"/>
      <c r="BO103" s="104"/>
      <c r="BP103" s="104"/>
      <c r="BQ103" s="104"/>
      <c r="BR103" s="104"/>
      <c r="BS103" s="104"/>
      <c r="BT103" s="104"/>
      <c r="BU103" s="104"/>
      <c r="BV103" s="104"/>
      <c r="BW103" s="104"/>
      <c r="BX103" s="147"/>
      <c r="BY103" s="146"/>
      <c r="BZ103" s="542">
        <v>21</v>
      </c>
      <c r="CA103" s="826"/>
      <c r="CB103" s="827"/>
      <c r="CD103" s="104"/>
      <c r="CE103" s="104"/>
      <c r="CF103" s="104"/>
      <c r="CG103" s="104"/>
      <c r="CH103" s="104"/>
      <c r="CI103" s="104"/>
      <c r="CJ103" s="104"/>
      <c r="CK103" s="104"/>
      <c r="CL103" s="104"/>
      <c r="CM103" s="104"/>
      <c r="CN103" s="104"/>
      <c r="CO103" s="104"/>
      <c r="CP103" s="104"/>
      <c r="CQ103" s="147"/>
    </row>
    <row r="104" spans="1:95">
      <c r="A104" s="146"/>
      <c r="B104" s="542">
        <v>22</v>
      </c>
      <c r="C104" s="826"/>
      <c r="D104" s="827"/>
      <c r="F104" s="104"/>
      <c r="G104" s="104"/>
      <c r="H104" s="104"/>
      <c r="I104" s="104"/>
      <c r="J104" s="104"/>
      <c r="K104" s="104"/>
      <c r="L104" s="104"/>
      <c r="M104" s="104"/>
      <c r="N104" s="104"/>
      <c r="O104" s="104"/>
      <c r="P104" s="104"/>
      <c r="Q104" s="104"/>
      <c r="R104" s="104"/>
      <c r="S104" s="147"/>
      <c r="T104" s="146"/>
      <c r="U104" s="542">
        <v>22</v>
      </c>
      <c r="V104" s="826"/>
      <c r="W104" s="827"/>
      <c r="Y104" s="104"/>
      <c r="Z104" s="104"/>
      <c r="AA104" s="104"/>
      <c r="AB104" s="104"/>
      <c r="AC104" s="104"/>
      <c r="AD104" s="104"/>
      <c r="AE104" s="104"/>
      <c r="AF104" s="104"/>
      <c r="AG104" s="104"/>
      <c r="AH104" s="104"/>
      <c r="AI104" s="104"/>
      <c r="AJ104" s="104"/>
      <c r="AK104" s="104"/>
      <c r="AL104" s="147"/>
      <c r="AM104" s="146"/>
      <c r="AN104" s="542">
        <v>22</v>
      </c>
      <c r="AO104" s="826"/>
      <c r="AP104" s="827"/>
      <c r="AR104" s="104"/>
      <c r="AS104" s="104"/>
      <c r="AT104" s="104"/>
      <c r="AU104" s="104"/>
      <c r="AV104" s="104"/>
      <c r="AW104" s="104"/>
      <c r="AX104" s="104"/>
      <c r="AY104" s="104"/>
      <c r="AZ104" s="104"/>
      <c r="BA104" s="104"/>
      <c r="BB104" s="104"/>
      <c r="BC104" s="104"/>
      <c r="BD104" s="104"/>
      <c r="BE104" s="147"/>
      <c r="BF104" s="146"/>
      <c r="BG104" s="542">
        <v>22</v>
      </c>
      <c r="BH104" s="826"/>
      <c r="BI104" s="827"/>
      <c r="BK104" s="104"/>
      <c r="BL104" s="104"/>
      <c r="BM104" s="104"/>
      <c r="BN104" s="104"/>
      <c r="BO104" s="104"/>
      <c r="BP104" s="104"/>
      <c r="BQ104" s="104"/>
      <c r="BR104" s="104"/>
      <c r="BS104" s="104"/>
      <c r="BT104" s="104"/>
      <c r="BU104" s="104"/>
      <c r="BV104" s="104"/>
      <c r="BW104" s="104"/>
      <c r="BX104" s="147"/>
      <c r="BY104" s="146"/>
      <c r="BZ104" s="542">
        <v>22</v>
      </c>
      <c r="CA104" s="826"/>
      <c r="CB104" s="827"/>
      <c r="CD104" s="104"/>
      <c r="CE104" s="104"/>
      <c r="CF104" s="104"/>
      <c r="CG104" s="104"/>
      <c r="CH104" s="104"/>
      <c r="CI104" s="104"/>
      <c r="CJ104" s="104"/>
      <c r="CK104" s="104"/>
      <c r="CL104" s="104"/>
      <c r="CM104" s="104"/>
      <c r="CN104" s="104"/>
      <c r="CO104" s="104"/>
      <c r="CP104" s="104"/>
      <c r="CQ104" s="147"/>
    </row>
    <row r="105" spans="1:95">
      <c r="A105" s="146"/>
      <c r="B105" s="542">
        <v>23</v>
      </c>
      <c r="C105" s="826"/>
      <c r="D105" s="827"/>
      <c r="F105" s="104"/>
      <c r="G105" s="104"/>
      <c r="H105" s="104"/>
      <c r="I105" s="104"/>
      <c r="J105" s="104"/>
      <c r="K105" s="104"/>
      <c r="L105" s="104"/>
      <c r="M105" s="104"/>
      <c r="N105" s="104"/>
      <c r="O105" s="104"/>
      <c r="P105" s="104"/>
      <c r="Q105" s="104"/>
      <c r="R105" s="104"/>
      <c r="S105" s="147"/>
      <c r="T105" s="146"/>
      <c r="U105" s="542">
        <v>23</v>
      </c>
      <c r="V105" s="826"/>
      <c r="W105" s="827"/>
      <c r="Y105" s="104"/>
      <c r="Z105" s="104"/>
      <c r="AA105" s="104"/>
      <c r="AB105" s="104"/>
      <c r="AC105" s="104"/>
      <c r="AD105" s="104"/>
      <c r="AE105" s="104"/>
      <c r="AF105" s="104"/>
      <c r="AG105" s="104"/>
      <c r="AH105" s="104"/>
      <c r="AI105" s="104"/>
      <c r="AJ105" s="104"/>
      <c r="AK105" s="104"/>
      <c r="AL105" s="147"/>
      <c r="AM105" s="146"/>
      <c r="AN105" s="542">
        <v>23</v>
      </c>
      <c r="AO105" s="826"/>
      <c r="AP105" s="827"/>
      <c r="AR105" s="104"/>
      <c r="AS105" s="104"/>
      <c r="AT105" s="104"/>
      <c r="AU105" s="104"/>
      <c r="AV105" s="104"/>
      <c r="AW105" s="104"/>
      <c r="AX105" s="104"/>
      <c r="AY105" s="104"/>
      <c r="AZ105" s="104"/>
      <c r="BA105" s="104"/>
      <c r="BB105" s="104"/>
      <c r="BC105" s="104"/>
      <c r="BD105" s="104"/>
      <c r="BE105" s="147"/>
      <c r="BF105" s="146"/>
      <c r="BG105" s="542">
        <v>23</v>
      </c>
      <c r="BH105" s="826"/>
      <c r="BI105" s="827"/>
      <c r="BK105" s="104"/>
      <c r="BL105" s="104"/>
      <c r="BM105" s="104"/>
      <c r="BN105" s="104"/>
      <c r="BO105" s="104"/>
      <c r="BP105" s="104"/>
      <c r="BQ105" s="104"/>
      <c r="BR105" s="104"/>
      <c r="BS105" s="104"/>
      <c r="BT105" s="104"/>
      <c r="BU105" s="104"/>
      <c r="BV105" s="104"/>
      <c r="BW105" s="104"/>
      <c r="BX105" s="147"/>
      <c r="BY105" s="146"/>
      <c r="BZ105" s="542">
        <v>23</v>
      </c>
      <c r="CA105" s="826"/>
      <c r="CB105" s="827"/>
      <c r="CD105" s="104"/>
      <c r="CE105" s="104"/>
      <c r="CF105" s="104"/>
      <c r="CG105" s="104"/>
      <c r="CH105" s="104"/>
      <c r="CI105" s="104"/>
      <c r="CJ105" s="104"/>
      <c r="CK105" s="104"/>
      <c r="CL105" s="104"/>
      <c r="CM105" s="104"/>
      <c r="CN105" s="104"/>
      <c r="CO105" s="104"/>
      <c r="CP105" s="104"/>
      <c r="CQ105" s="147"/>
    </row>
    <row r="106" spans="1:95">
      <c r="A106" s="146"/>
      <c r="B106" s="542">
        <v>24</v>
      </c>
      <c r="C106" s="826"/>
      <c r="D106" s="827"/>
      <c r="F106" s="104"/>
      <c r="G106" s="104"/>
      <c r="H106" s="104"/>
      <c r="I106" s="104"/>
      <c r="J106" s="104"/>
      <c r="K106" s="104"/>
      <c r="L106" s="104"/>
      <c r="M106" s="104"/>
      <c r="N106" s="104"/>
      <c r="O106" s="104"/>
      <c r="P106" s="104"/>
      <c r="Q106" s="104"/>
      <c r="R106" s="104"/>
      <c r="S106" s="147"/>
      <c r="T106" s="146"/>
      <c r="U106" s="542">
        <v>24</v>
      </c>
      <c r="V106" s="826"/>
      <c r="W106" s="827"/>
      <c r="Y106" s="104"/>
      <c r="Z106" s="104"/>
      <c r="AA106" s="104"/>
      <c r="AB106" s="104"/>
      <c r="AC106" s="104"/>
      <c r="AD106" s="104"/>
      <c r="AE106" s="104"/>
      <c r="AF106" s="104"/>
      <c r="AG106" s="104"/>
      <c r="AH106" s="104"/>
      <c r="AI106" s="104"/>
      <c r="AJ106" s="104"/>
      <c r="AK106" s="104"/>
      <c r="AL106" s="147"/>
      <c r="AM106" s="146"/>
      <c r="AN106" s="542">
        <v>24</v>
      </c>
      <c r="AO106" s="826"/>
      <c r="AP106" s="827"/>
      <c r="AR106" s="104"/>
      <c r="AS106" s="104"/>
      <c r="AT106" s="104"/>
      <c r="AU106" s="104"/>
      <c r="AV106" s="104"/>
      <c r="AW106" s="104"/>
      <c r="AX106" s="104"/>
      <c r="AY106" s="104"/>
      <c r="AZ106" s="104"/>
      <c r="BA106" s="104"/>
      <c r="BB106" s="104"/>
      <c r="BC106" s="104"/>
      <c r="BD106" s="104"/>
      <c r="BE106" s="147"/>
      <c r="BF106" s="146"/>
      <c r="BG106" s="542">
        <v>24</v>
      </c>
      <c r="BH106" s="826"/>
      <c r="BI106" s="827"/>
      <c r="BK106" s="104"/>
      <c r="BL106" s="104"/>
      <c r="BM106" s="104"/>
      <c r="BN106" s="104"/>
      <c r="BO106" s="104"/>
      <c r="BP106" s="104"/>
      <c r="BQ106" s="104"/>
      <c r="BR106" s="104"/>
      <c r="BS106" s="104"/>
      <c r="BT106" s="104"/>
      <c r="BU106" s="104"/>
      <c r="BV106" s="104"/>
      <c r="BW106" s="104"/>
      <c r="BX106" s="147"/>
      <c r="BY106" s="146"/>
      <c r="BZ106" s="542">
        <v>24</v>
      </c>
      <c r="CA106" s="826"/>
      <c r="CB106" s="827"/>
      <c r="CD106" s="104"/>
      <c r="CE106" s="104"/>
      <c r="CF106" s="104"/>
      <c r="CG106" s="104"/>
      <c r="CH106" s="104"/>
      <c r="CI106" s="104"/>
      <c r="CJ106" s="104"/>
      <c r="CK106" s="104"/>
      <c r="CL106" s="104"/>
      <c r="CM106" s="104"/>
      <c r="CN106" s="104"/>
      <c r="CO106" s="104"/>
      <c r="CP106" s="104"/>
      <c r="CQ106" s="147"/>
    </row>
    <row r="107" spans="1:95">
      <c r="A107" s="146"/>
      <c r="B107" s="542">
        <v>25</v>
      </c>
      <c r="C107" s="826"/>
      <c r="D107" s="827"/>
      <c r="F107" s="104"/>
      <c r="G107" s="104"/>
      <c r="H107" s="104"/>
      <c r="I107" s="104"/>
      <c r="J107" s="104"/>
      <c r="K107" s="104"/>
      <c r="L107" s="104"/>
      <c r="M107" s="104"/>
      <c r="N107" s="104"/>
      <c r="O107" s="104"/>
      <c r="P107" s="104"/>
      <c r="Q107" s="104"/>
      <c r="R107" s="104"/>
      <c r="S107" s="147"/>
      <c r="T107" s="146"/>
      <c r="U107" s="542">
        <v>25</v>
      </c>
      <c r="V107" s="826"/>
      <c r="W107" s="827"/>
      <c r="Y107" s="104"/>
      <c r="Z107" s="104"/>
      <c r="AA107" s="104"/>
      <c r="AB107" s="104"/>
      <c r="AC107" s="104"/>
      <c r="AD107" s="104"/>
      <c r="AE107" s="104"/>
      <c r="AF107" s="104"/>
      <c r="AG107" s="104"/>
      <c r="AH107" s="104"/>
      <c r="AI107" s="104"/>
      <c r="AJ107" s="104"/>
      <c r="AK107" s="104"/>
      <c r="AL107" s="147"/>
      <c r="AM107" s="146"/>
      <c r="AN107" s="542">
        <v>25</v>
      </c>
      <c r="AO107" s="826"/>
      <c r="AP107" s="827"/>
      <c r="AR107" s="104"/>
      <c r="AS107" s="104"/>
      <c r="AT107" s="104"/>
      <c r="AU107" s="104"/>
      <c r="AV107" s="104"/>
      <c r="AW107" s="104"/>
      <c r="AX107" s="104"/>
      <c r="AY107" s="104"/>
      <c r="AZ107" s="104"/>
      <c r="BA107" s="104"/>
      <c r="BB107" s="104"/>
      <c r="BC107" s="104"/>
      <c r="BD107" s="104"/>
      <c r="BE107" s="147"/>
      <c r="BF107" s="146"/>
      <c r="BG107" s="542">
        <v>25</v>
      </c>
      <c r="BH107" s="826"/>
      <c r="BI107" s="827"/>
      <c r="BK107" s="104"/>
      <c r="BL107" s="104"/>
      <c r="BM107" s="104"/>
      <c r="BN107" s="104"/>
      <c r="BO107" s="104"/>
      <c r="BP107" s="104"/>
      <c r="BQ107" s="104"/>
      <c r="BR107" s="104"/>
      <c r="BS107" s="104"/>
      <c r="BT107" s="104"/>
      <c r="BU107" s="104"/>
      <c r="BV107" s="104"/>
      <c r="BW107" s="104"/>
      <c r="BX107" s="147"/>
      <c r="BY107" s="146"/>
      <c r="BZ107" s="542">
        <v>25</v>
      </c>
      <c r="CA107" s="826"/>
      <c r="CB107" s="827"/>
      <c r="CD107" s="104"/>
      <c r="CE107" s="104"/>
      <c r="CF107" s="104"/>
      <c r="CG107" s="104"/>
      <c r="CH107" s="104"/>
      <c r="CI107" s="104"/>
      <c r="CJ107" s="104"/>
      <c r="CK107" s="104"/>
      <c r="CL107" s="104"/>
      <c r="CM107" s="104"/>
      <c r="CN107" s="104"/>
      <c r="CO107" s="104"/>
      <c r="CP107" s="104"/>
      <c r="CQ107" s="147"/>
    </row>
    <row r="108" spans="1:95">
      <c r="A108" s="146"/>
      <c r="B108" s="542">
        <v>26</v>
      </c>
      <c r="C108" s="826"/>
      <c r="D108" s="827"/>
      <c r="F108" s="104"/>
      <c r="G108" s="104"/>
      <c r="H108" s="104"/>
      <c r="I108" s="104"/>
      <c r="J108" s="104"/>
      <c r="K108" s="104"/>
      <c r="L108" s="104"/>
      <c r="M108" s="104"/>
      <c r="N108" s="104"/>
      <c r="O108" s="104"/>
      <c r="P108" s="104"/>
      <c r="Q108" s="104"/>
      <c r="R108" s="104"/>
      <c r="S108" s="147"/>
      <c r="T108" s="146"/>
      <c r="U108" s="542">
        <v>26</v>
      </c>
      <c r="V108" s="826"/>
      <c r="W108" s="827"/>
      <c r="Y108" s="104"/>
      <c r="Z108" s="104"/>
      <c r="AA108" s="104"/>
      <c r="AB108" s="104"/>
      <c r="AC108" s="104"/>
      <c r="AD108" s="104"/>
      <c r="AE108" s="104"/>
      <c r="AF108" s="104"/>
      <c r="AG108" s="104"/>
      <c r="AH108" s="104"/>
      <c r="AI108" s="104"/>
      <c r="AJ108" s="104"/>
      <c r="AK108" s="104"/>
      <c r="AL108" s="147"/>
      <c r="AM108" s="146"/>
      <c r="AN108" s="542">
        <v>26</v>
      </c>
      <c r="AO108" s="826"/>
      <c r="AP108" s="827"/>
      <c r="AR108" s="104"/>
      <c r="AS108" s="104"/>
      <c r="AT108" s="104"/>
      <c r="AU108" s="104"/>
      <c r="AV108" s="104"/>
      <c r="AW108" s="104"/>
      <c r="AX108" s="104"/>
      <c r="AY108" s="104"/>
      <c r="AZ108" s="104"/>
      <c r="BA108" s="104"/>
      <c r="BB108" s="104"/>
      <c r="BC108" s="104"/>
      <c r="BD108" s="104"/>
      <c r="BE108" s="147"/>
      <c r="BF108" s="146"/>
      <c r="BG108" s="542">
        <v>26</v>
      </c>
      <c r="BH108" s="826"/>
      <c r="BI108" s="827"/>
      <c r="BK108" s="104"/>
      <c r="BL108" s="104"/>
      <c r="BM108" s="104"/>
      <c r="BN108" s="104"/>
      <c r="BO108" s="104"/>
      <c r="BP108" s="104"/>
      <c r="BQ108" s="104"/>
      <c r="BR108" s="104"/>
      <c r="BS108" s="104"/>
      <c r="BT108" s="104"/>
      <c r="BU108" s="104"/>
      <c r="BV108" s="104"/>
      <c r="BW108" s="104"/>
      <c r="BX108" s="147"/>
      <c r="BY108" s="146"/>
      <c r="BZ108" s="542">
        <v>26</v>
      </c>
      <c r="CA108" s="826"/>
      <c r="CB108" s="827"/>
      <c r="CD108" s="104"/>
      <c r="CE108" s="104"/>
      <c r="CF108" s="104"/>
      <c r="CG108" s="104"/>
      <c r="CH108" s="104"/>
      <c r="CI108" s="104"/>
      <c r="CJ108" s="104"/>
      <c r="CK108" s="104"/>
      <c r="CL108" s="104"/>
      <c r="CM108" s="104"/>
      <c r="CN108" s="104"/>
      <c r="CO108" s="104"/>
      <c r="CP108" s="104"/>
      <c r="CQ108" s="147"/>
    </row>
    <row r="109" spans="1:95">
      <c r="A109" s="146"/>
      <c r="B109" s="542">
        <v>27</v>
      </c>
      <c r="C109" s="826"/>
      <c r="D109" s="827"/>
      <c r="F109" s="104"/>
      <c r="G109" s="104"/>
      <c r="H109" s="104"/>
      <c r="I109" s="104"/>
      <c r="J109" s="104"/>
      <c r="K109" s="104"/>
      <c r="L109" s="104"/>
      <c r="M109" s="104"/>
      <c r="N109" s="104"/>
      <c r="O109" s="104"/>
      <c r="P109" s="104"/>
      <c r="Q109" s="104"/>
      <c r="R109" s="104"/>
      <c r="S109" s="147"/>
      <c r="T109" s="146"/>
      <c r="U109" s="542">
        <v>27</v>
      </c>
      <c r="V109" s="826"/>
      <c r="W109" s="827"/>
      <c r="Y109" s="104"/>
      <c r="Z109" s="104"/>
      <c r="AA109" s="104"/>
      <c r="AB109" s="104"/>
      <c r="AC109" s="104"/>
      <c r="AD109" s="104"/>
      <c r="AE109" s="104"/>
      <c r="AF109" s="104"/>
      <c r="AG109" s="104"/>
      <c r="AH109" s="104"/>
      <c r="AI109" s="104"/>
      <c r="AJ109" s="104"/>
      <c r="AK109" s="104"/>
      <c r="AL109" s="147"/>
      <c r="AM109" s="146"/>
      <c r="AN109" s="542">
        <v>27</v>
      </c>
      <c r="AO109" s="826"/>
      <c r="AP109" s="827"/>
      <c r="AR109" s="104"/>
      <c r="AS109" s="104"/>
      <c r="AT109" s="104"/>
      <c r="AU109" s="104"/>
      <c r="AV109" s="104"/>
      <c r="AW109" s="104"/>
      <c r="AX109" s="104"/>
      <c r="AY109" s="104"/>
      <c r="AZ109" s="104"/>
      <c r="BA109" s="104"/>
      <c r="BB109" s="104"/>
      <c r="BC109" s="104"/>
      <c r="BD109" s="104"/>
      <c r="BE109" s="147"/>
      <c r="BF109" s="146"/>
      <c r="BG109" s="542">
        <v>27</v>
      </c>
      <c r="BH109" s="826"/>
      <c r="BI109" s="827"/>
      <c r="BK109" s="104"/>
      <c r="BL109" s="104"/>
      <c r="BM109" s="104"/>
      <c r="BN109" s="104"/>
      <c r="BO109" s="104"/>
      <c r="BP109" s="104"/>
      <c r="BQ109" s="104"/>
      <c r="BR109" s="104"/>
      <c r="BS109" s="104"/>
      <c r="BT109" s="104"/>
      <c r="BU109" s="104"/>
      <c r="BV109" s="104"/>
      <c r="BW109" s="104"/>
      <c r="BX109" s="147"/>
      <c r="BY109" s="146"/>
      <c r="BZ109" s="542">
        <v>27</v>
      </c>
      <c r="CA109" s="826"/>
      <c r="CB109" s="827"/>
      <c r="CD109" s="104"/>
      <c r="CE109" s="104"/>
      <c r="CF109" s="104"/>
      <c r="CG109" s="104"/>
      <c r="CH109" s="104"/>
      <c r="CI109" s="104"/>
      <c r="CJ109" s="104"/>
      <c r="CK109" s="104"/>
      <c r="CL109" s="104"/>
      <c r="CM109" s="104"/>
      <c r="CN109" s="104"/>
      <c r="CO109" s="104"/>
      <c r="CP109" s="104"/>
      <c r="CQ109" s="147"/>
    </row>
    <row r="110" spans="1:95">
      <c r="A110" s="146"/>
      <c r="B110" s="542">
        <v>28</v>
      </c>
      <c r="C110" s="826"/>
      <c r="D110" s="827"/>
      <c r="F110" s="104"/>
      <c r="G110" s="104"/>
      <c r="H110" s="104"/>
      <c r="I110" s="104"/>
      <c r="J110" s="104"/>
      <c r="K110" s="104"/>
      <c r="L110" s="104"/>
      <c r="M110" s="104"/>
      <c r="N110" s="104"/>
      <c r="O110" s="104"/>
      <c r="P110" s="104"/>
      <c r="Q110" s="104"/>
      <c r="R110" s="104"/>
      <c r="S110" s="147"/>
      <c r="T110" s="146"/>
      <c r="U110" s="542">
        <v>28</v>
      </c>
      <c r="V110" s="826"/>
      <c r="W110" s="827"/>
      <c r="Y110" s="104"/>
      <c r="Z110" s="104"/>
      <c r="AA110" s="104"/>
      <c r="AB110" s="104"/>
      <c r="AC110" s="104"/>
      <c r="AD110" s="104"/>
      <c r="AE110" s="104"/>
      <c r="AF110" s="104"/>
      <c r="AG110" s="104"/>
      <c r="AH110" s="104"/>
      <c r="AI110" s="104"/>
      <c r="AJ110" s="104"/>
      <c r="AK110" s="104"/>
      <c r="AL110" s="147"/>
      <c r="AM110" s="146"/>
      <c r="AN110" s="542">
        <v>28</v>
      </c>
      <c r="AO110" s="826"/>
      <c r="AP110" s="827"/>
      <c r="AR110" s="104"/>
      <c r="AS110" s="104"/>
      <c r="AT110" s="104"/>
      <c r="AU110" s="104"/>
      <c r="AV110" s="104"/>
      <c r="AW110" s="104"/>
      <c r="AX110" s="104"/>
      <c r="AY110" s="104"/>
      <c r="AZ110" s="104"/>
      <c r="BA110" s="104"/>
      <c r="BB110" s="104"/>
      <c r="BC110" s="104"/>
      <c r="BD110" s="104"/>
      <c r="BE110" s="147"/>
      <c r="BF110" s="146"/>
      <c r="BG110" s="542">
        <v>28</v>
      </c>
      <c r="BH110" s="826"/>
      <c r="BI110" s="827"/>
      <c r="BK110" s="104"/>
      <c r="BL110" s="104"/>
      <c r="BM110" s="104"/>
      <c r="BN110" s="104"/>
      <c r="BO110" s="104"/>
      <c r="BP110" s="104"/>
      <c r="BQ110" s="104"/>
      <c r="BR110" s="104"/>
      <c r="BS110" s="104"/>
      <c r="BT110" s="104"/>
      <c r="BU110" s="104"/>
      <c r="BV110" s="104"/>
      <c r="BW110" s="104"/>
      <c r="BX110" s="147"/>
      <c r="BY110" s="146"/>
      <c r="BZ110" s="542">
        <v>28</v>
      </c>
      <c r="CA110" s="826"/>
      <c r="CB110" s="827"/>
      <c r="CD110" s="104"/>
      <c r="CE110" s="104"/>
      <c r="CF110" s="104"/>
      <c r="CG110" s="104"/>
      <c r="CH110" s="104"/>
      <c r="CI110" s="104"/>
      <c r="CJ110" s="104"/>
      <c r="CK110" s="104"/>
      <c r="CL110" s="104"/>
      <c r="CM110" s="104"/>
      <c r="CN110" s="104"/>
      <c r="CO110" s="104"/>
      <c r="CP110" s="104"/>
      <c r="CQ110" s="147"/>
    </row>
    <row r="111" spans="1:95">
      <c r="A111" s="146"/>
      <c r="B111" s="542">
        <v>29</v>
      </c>
      <c r="C111" s="826"/>
      <c r="D111" s="827"/>
      <c r="F111" s="104"/>
      <c r="G111" s="104"/>
      <c r="H111" s="104"/>
      <c r="I111" s="104"/>
      <c r="J111" s="104"/>
      <c r="K111" s="104"/>
      <c r="L111" s="104"/>
      <c r="M111" s="104"/>
      <c r="N111" s="104"/>
      <c r="O111" s="104"/>
      <c r="P111" s="104"/>
      <c r="Q111" s="104"/>
      <c r="R111" s="104"/>
      <c r="S111" s="147"/>
      <c r="T111" s="146"/>
      <c r="U111" s="542">
        <v>29</v>
      </c>
      <c r="V111" s="826"/>
      <c r="W111" s="827"/>
      <c r="Y111" s="104"/>
      <c r="Z111" s="104"/>
      <c r="AA111" s="104"/>
      <c r="AB111" s="104"/>
      <c r="AC111" s="104"/>
      <c r="AD111" s="104"/>
      <c r="AE111" s="104"/>
      <c r="AF111" s="104"/>
      <c r="AG111" s="104"/>
      <c r="AH111" s="104"/>
      <c r="AI111" s="104"/>
      <c r="AJ111" s="104"/>
      <c r="AK111" s="104"/>
      <c r="AL111" s="147"/>
      <c r="AM111" s="146"/>
      <c r="AN111" s="542">
        <v>29</v>
      </c>
      <c r="AO111" s="826"/>
      <c r="AP111" s="827"/>
      <c r="AR111" s="104"/>
      <c r="AS111" s="104"/>
      <c r="AT111" s="104"/>
      <c r="AU111" s="104"/>
      <c r="AV111" s="104"/>
      <c r="AW111" s="104"/>
      <c r="AX111" s="104"/>
      <c r="AY111" s="104"/>
      <c r="AZ111" s="104"/>
      <c r="BA111" s="104"/>
      <c r="BB111" s="104"/>
      <c r="BC111" s="104"/>
      <c r="BD111" s="104"/>
      <c r="BE111" s="147"/>
      <c r="BF111" s="146"/>
      <c r="BG111" s="542">
        <v>29</v>
      </c>
      <c r="BH111" s="826"/>
      <c r="BI111" s="827"/>
      <c r="BK111" s="104"/>
      <c r="BL111" s="104"/>
      <c r="BM111" s="104"/>
      <c r="BN111" s="104"/>
      <c r="BO111" s="104"/>
      <c r="BP111" s="104"/>
      <c r="BQ111" s="104"/>
      <c r="BR111" s="104"/>
      <c r="BS111" s="104"/>
      <c r="BT111" s="104"/>
      <c r="BU111" s="104"/>
      <c r="BV111" s="104"/>
      <c r="BW111" s="104"/>
      <c r="BX111" s="147"/>
      <c r="BY111" s="146"/>
      <c r="BZ111" s="542">
        <v>29</v>
      </c>
      <c r="CA111" s="826"/>
      <c r="CB111" s="827"/>
      <c r="CD111" s="104"/>
      <c r="CE111" s="104"/>
      <c r="CF111" s="104"/>
      <c r="CG111" s="104"/>
      <c r="CH111" s="104"/>
      <c r="CI111" s="104"/>
      <c r="CJ111" s="104"/>
      <c r="CK111" s="104"/>
      <c r="CL111" s="104"/>
      <c r="CM111" s="104"/>
      <c r="CN111" s="104"/>
      <c r="CO111" s="104"/>
      <c r="CP111" s="104"/>
      <c r="CQ111" s="147"/>
    </row>
    <row r="112" spans="1:95">
      <c r="A112" s="146"/>
      <c r="B112" s="542">
        <v>30</v>
      </c>
      <c r="C112" s="826"/>
      <c r="D112" s="827"/>
      <c r="F112" s="104"/>
      <c r="G112" s="104"/>
      <c r="H112" s="104"/>
      <c r="I112" s="104"/>
      <c r="J112" s="104"/>
      <c r="K112" s="104"/>
      <c r="L112" s="104"/>
      <c r="M112" s="104"/>
      <c r="N112" s="104"/>
      <c r="O112" s="104"/>
      <c r="P112" s="104"/>
      <c r="Q112" s="104"/>
      <c r="R112" s="104"/>
      <c r="S112" s="147"/>
      <c r="T112" s="146"/>
      <c r="U112" s="542">
        <v>30</v>
      </c>
      <c r="V112" s="826"/>
      <c r="W112" s="827"/>
      <c r="Y112" s="104"/>
      <c r="Z112" s="104"/>
      <c r="AA112" s="104"/>
      <c r="AB112" s="104"/>
      <c r="AC112" s="104"/>
      <c r="AD112" s="104"/>
      <c r="AE112" s="104"/>
      <c r="AF112" s="104"/>
      <c r="AG112" s="104"/>
      <c r="AH112" s="104"/>
      <c r="AI112" s="104"/>
      <c r="AJ112" s="104"/>
      <c r="AK112" s="104"/>
      <c r="AL112" s="147"/>
      <c r="AM112" s="146"/>
      <c r="AN112" s="542">
        <v>30</v>
      </c>
      <c r="AO112" s="826"/>
      <c r="AP112" s="827"/>
      <c r="AR112" s="104"/>
      <c r="AS112" s="104"/>
      <c r="AT112" s="104"/>
      <c r="AU112" s="104"/>
      <c r="AV112" s="104"/>
      <c r="AW112" s="104"/>
      <c r="AX112" s="104"/>
      <c r="AY112" s="104"/>
      <c r="AZ112" s="104"/>
      <c r="BA112" s="104"/>
      <c r="BB112" s="104"/>
      <c r="BC112" s="104"/>
      <c r="BD112" s="104"/>
      <c r="BE112" s="147"/>
      <c r="BF112" s="146"/>
      <c r="BG112" s="542">
        <v>30</v>
      </c>
      <c r="BH112" s="826"/>
      <c r="BI112" s="827"/>
      <c r="BK112" s="104"/>
      <c r="BL112" s="104"/>
      <c r="BM112" s="104"/>
      <c r="BN112" s="104"/>
      <c r="BO112" s="104"/>
      <c r="BP112" s="104"/>
      <c r="BQ112" s="104"/>
      <c r="BR112" s="104"/>
      <c r="BS112" s="104"/>
      <c r="BT112" s="104"/>
      <c r="BU112" s="104"/>
      <c r="BV112" s="104"/>
      <c r="BW112" s="104"/>
      <c r="BX112" s="147"/>
      <c r="BY112" s="146"/>
      <c r="BZ112" s="542">
        <v>30</v>
      </c>
      <c r="CA112" s="826"/>
      <c r="CB112" s="827"/>
      <c r="CD112" s="104"/>
      <c r="CE112" s="104"/>
      <c r="CF112" s="104"/>
      <c r="CG112" s="104"/>
      <c r="CH112" s="104"/>
      <c r="CI112" s="104"/>
      <c r="CJ112" s="104"/>
      <c r="CK112" s="104"/>
      <c r="CL112" s="104"/>
      <c r="CM112" s="104"/>
      <c r="CN112" s="104"/>
      <c r="CO112" s="104"/>
      <c r="CP112" s="104"/>
      <c r="CQ112" s="147"/>
    </row>
    <row r="113" spans="1:95">
      <c r="A113" s="146"/>
      <c r="B113" s="542">
        <v>31</v>
      </c>
      <c r="C113" s="826"/>
      <c r="D113" s="827"/>
      <c r="F113" s="104"/>
      <c r="G113" s="104"/>
      <c r="H113" s="104"/>
      <c r="I113" s="104"/>
      <c r="J113" s="104"/>
      <c r="K113" s="104"/>
      <c r="L113" s="104"/>
      <c r="M113" s="104"/>
      <c r="N113" s="104"/>
      <c r="O113" s="104"/>
      <c r="P113" s="104"/>
      <c r="Q113" s="104"/>
      <c r="R113" s="104"/>
      <c r="S113" s="147"/>
      <c r="T113" s="146"/>
      <c r="U113" s="542">
        <v>31</v>
      </c>
      <c r="V113" s="826"/>
      <c r="W113" s="827"/>
      <c r="Y113" s="104"/>
      <c r="Z113" s="104"/>
      <c r="AA113" s="104"/>
      <c r="AB113" s="104"/>
      <c r="AC113" s="104"/>
      <c r="AD113" s="104"/>
      <c r="AE113" s="104"/>
      <c r="AF113" s="104"/>
      <c r="AG113" s="104"/>
      <c r="AH113" s="104"/>
      <c r="AI113" s="104"/>
      <c r="AJ113" s="104"/>
      <c r="AK113" s="104"/>
      <c r="AL113" s="147"/>
      <c r="AM113" s="146"/>
      <c r="AN113" s="542">
        <v>31</v>
      </c>
      <c r="AO113" s="826"/>
      <c r="AP113" s="827"/>
      <c r="AR113" s="104"/>
      <c r="AS113" s="104"/>
      <c r="AT113" s="104"/>
      <c r="AU113" s="104"/>
      <c r="AV113" s="104"/>
      <c r="AW113" s="104"/>
      <c r="AX113" s="104"/>
      <c r="AY113" s="104"/>
      <c r="AZ113" s="104"/>
      <c r="BA113" s="104"/>
      <c r="BB113" s="104"/>
      <c r="BC113" s="104"/>
      <c r="BD113" s="104"/>
      <c r="BE113" s="147"/>
      <c r="BF113" s="146"/>
      <c r="BG113" s="542">
        <v>31</v>
      </c>
      <c r="BH113" s="826"/>
      <c r="BI113" s="827"/>
      <c r="BK113" s="104"/>
      <c r="BL113" s="104"/>
      <c r="BM113" s="104"/>
      <c r="BN113" s="104"/>
      <c r="BO113" s="104"/>
      <c r="BP113" s="104"/>
      <c r="BQ113" s="104"/>
      <c r="BR113" s="104"/>
      <c r="BS113" s="104"/>
      <c r="BT113" s="104"/>
      <c r="BU113" s="104"/>
      <c r="BV113" s="104"/>
      <c r="BW113" s="104"/>
      <c r="BX113" s="147"/>
      <c r="BY113" s="146"/>
      <c r="BZ113" s="542">
        <v>31</v>
      </c>
      <c r="CA113" s="826"/>
      <c r="CB113" s="827"/>
      <c r="CD113" s="104"/>
      <c r="CE113" s="104"/>
      <c r="CF113" s="104"/>
      <c r="CG113" s="104"/>
      <c r="CH113" s="104"/>
      <c r="CI113" s="104"/>
      <c r="CJ113" s="104"/>
      <c r="CK113" s="104"/>
      <c r="CL113" s="104"/>
      <c r="CM113" s="104"/>
      <c r="CN113" s="104"/>
      <c r="CO113" s="104"/>
      <c r="CP113" s="104"/>
      <c r="CQ113" s="147"/>
    </row>
    <row r="114" spans="1:95">
      <c r="A114" s="146"/>
      <c r="B114" s="542">
        <v>32</v>
      </c>
      <c r="C114" s="826"/>
      <c r="D114" s="827"/>
      <c r="F114" s="104"/>
      <c r="G114" s="104"/>
      <c r="H114" s="104"/>
      <c r="I114" s="104"/>
      <c r="J114" s="104"/>
      <c r="K114" s="104"/>
      <c r="L114" s="104"/>
      <c r="M114" s="104"/>
      <c r="N114" s="104"/>
      <c r="O114" s="104"/>
      <c r="P114" s="104"/>
      <c r="Q114" s="104"/>
      <c r="R114" s="104"/>
      <c r="S114" s="147"/>
      <c r="T114" s="146"/>
      <c r="U114" s="542">
        <v>32</v>
      </c>
      <c r="V114" s="826"/>
      <c r="W114" s="827"/>
      <c r="Y114" s="104"/>
      <c r="Z114" s="104"/>
      <c r="AA114" s="104"/>
      <c r="AB114" s="104"/>
      <c r="AC114" s="104"/>
      <c r="AD114" s="104"/>
      <c r="AE114" s="104"/>
      <c r="AF114" s="104"/>
      <c r="AG114" s="104"/>
      <c r="AH114" s="104"/>
      <c r="AI114" s="104"/>
      <c r="AJ114" s="104"/>
      <c r="AK114" s="104"/>
      <c r="AL114" s="147"/>
      <c r="AM114" s="146"/>
      <c r="AN114" s="542">
        <v>32</v>
      </c>
      <c r="AO114" s="826"/>
      <c r="AP114" s="827"/>
      <c r="AR114" s="104"/>
      <c r="AS114" s="104"/>
      <c r="AT114" s="104"/>
      <c r="AU114" s="104"/>
      <c r="AV114" s="104"/>
      <c r="AW114" s="104"/>
      <c r="AX114" s="104"/>
      <c r="AY114" s="104"/>
      <c r="AZ114" s="104"/>
      <c r="BA114" s="104"/>
      <c r="BB114" s="104"/>
      <c r="BC114" s="104"/>
      <c r="BD114" s="104"/>
      <c r="BE114" s="147"/>
      <c r="BF114" s="146"/>
      <c r="BG114" s="542">
        <v>32</v>
      </c>
      <c r="BH114" s="826"/>
      <c r="BI114" s="827"/>
      <c r="BK114" s="104"/>
      <c r="BL114" s="104"/>
      <c r="BM114" s="104"/>
      <c r="BN114" s="104"/>
      <c r="BO114" s="104"/>
      <c r="BP114" s="104"/>
      <c r="BQ114" s="104"/>
      <c r="BR114" s="104"/>
      <c r="BS114" s="104"/>
      <c r="BT114" s="104"/>
      <c r="BU114" s="104"/>
      <c r="BV114" s="104"/>
      <c r="BW114" s="104"/>
      <c r="BX114" s="147"/>
      <c r="BY114" s="146"/>
      <c r="BZ114" s="542">
        <v>32</v>
      </c>
      <c r="CA114" s="826"/>
      <c r="CB114" s="827"/>
      <c r="CD114" s="104"/>
      <c r="CE114" s="104"/>
      <c r="CF114" s="104"/>
      <c r="CG114" s="104"/>
      <c r="CH114" s="104"/>
      <c r="CI114" s="104"/>
      <c r="CJ114" s="104"/>
      <c r="CK114" s="104"/>
      <c r="CL114" s="104"/>
      <c r="CM114" s="104"/>
      <c r="CN114" s="104"/>
      <c r="CO114" s="104"/>
      <c r="CP114" s="104"/>
      <c r="CQ114" s="147"/>
    </row>
    <row r="115" spans="1:95">
      <c r="A115" s="146"/>
      <c r="B115" s="542">
        <v>33</v>
      </c>
      <c r="C115" s="826"/>
      <c r="D115" s="827"/>
      <c r="F115" s="104"/>
      <c r="G115" s="104"/>
      <c r="H115" s="104"/>
      <c r="I115" s="104"/>
      <c r="J115" s="104"/>
      <c r="K115" s="104"/>
      <c r="L115" s="104"/>
      <c r="M115" s="104"/>
      <c r="N115" s="104"/>
      <c r="O115" s="104"/>
      <c r="P115" s="104"/>
      <c r="Q115" s="104"/>
      <c r="R115" s="104"/>
      <c r="S115" s="147"/>
      <c r="T115" s="146"/>
      <c r="U115" s="542">
        <v>33</v>
      </c>
      <c r="V115" s="826"/>
      <c r="W115" s="827"/>
      <c r="Y115" s="104"/>
      <c r="Z115" s="104"/>
      <c r="AA115" s="104"/>
      <c r="AB115" s="104"/>
      <c r="AC115" s="104"/>
      <c r="AD115" s="104"/>
      <c r="AE115" s="104"/>
      <c r="AF115" s="104"/>
      <c r="AG115" s="104"/>
      <c r="AH115" s="104"/>
      <c r="AI115" s="104"/>
      <c r="AJ115" s="104"/>
      <c r="AK115" s="104"/>
      <c r="AL115" s="147"/>
      <c r="AM115" s="146"/>
      <c r="AN115" s="542">
        <v>33</v>
      </c>
      <c r="AO115" s="826"/>
      <c r="AP115" s="827"/>
      <c r="AR115" s="104"/>
      <c r="AS115" s="104"/>
      <c r="AT115" s="104"/>
      <c r="AU115" s="104"/>
      <c r="AV115" s="104"/>
      <c r="AW115" s="104"/>
      <c r="AX115" s="104"/>
      <c r="AY115" s="104"/>
      <c r="AZ115" s="104"/>
      <c r="BA115" s="104"/>
      <c r="BB115" s="104"/>
      <c r="BC115" s="104"/>
      <c r="BD115" s="104"/>
      <c r="BE115" s="147"/>
      <c r="BF115" s="146"/>
      <c r="BG115" s="542">
        <v>33</v>
      </c>
      <c r="BH115" s="826"/>
      <c r="BI115" s="827"/>
      <c r="BK115" s="104"/>
      <c r="BL115" s="104"/>
      <c r="BM115" s="104"/>
      <c r="BN115" s="104"/>
      <c r="BO115" s="104"/>
      <c r="BP115" s="104"/>
      <c r="BQ115" s="104"/>
      <c r="BR115" s="104"/>
      <c r="BS115" s="104"/>
      <c r="BT115" s="104"/>
      <c r="BU115" s="104"/>
      <c r="BV115" s="104"/>
      <c r="BW115" s="104"/>
      <c r="BX115" s="147"/>
      <c r="BY115" s="146"/>
      <c r="BZ115" s="542">
        <v>33</v>
      </c>
      <c r="CA115" s="826"/>
      <c r="CB115" s="827"/>
      <c r="CD115" s="104"/>
      <c r="CE115" s="104"/>
      <c r="CF115" s="104"/>
      <c r="CG115" s="104"/>
      <c r="CH115" s="104"/>
      <c r="CI115" s="104"/>
      <c r="CJ115" s="104"/>
      <c r="CK115" s="104"/>
      <c r="CL115" s="104"/>
      <c r="CM115" s="104"/>
      <c r="CN115" s="104"/>
      <c r="CO115" s="104"/>
      <c r="CP115" s="104"/>
      <c r="CQ115" s="147"/>
    </row>
    <row r="116" spans="1:95">
      <c r="A116" s="146"/>
      <c r="B116" s="542">
        <v>34</v>
      </c>
      <c r="C116" s="826"/>
      <c r="D116" s="827"/>
      <c r="F116" s="104"/>
      <c r="G116" s="104"/>
      <c r="H116" s="104"/>
      <c r="I116" s="104"/>
      <c r="J116" s="104"/>
      <c r="K116" s="104"/>
      <c r="L116" s="104"/>
      <c r="M116" s="104"/>
      <c r="N116" s="104"/>
      <c r="O116" s="104"/>
      <c r="P116" s="104"/>
      <c r="Q116" s="104"/>
      <c r="R116" s="104"/>
      <c r="S116" s="147"/>
      <c r="T116" s="146"/>
      <c r="U116" s="542">
        <v>34</v>
      </c>
      <c r="V116" s="826"/>
      <c r="W116" s="827"/>
      <c r="Y116" s="104"/>
      <c r="Z116" s="104"/>
      <c r="AA116" s="104"/>
      <c r="AB116" s="104"/>
      <c r="AC116" s="104"/>
      <c r="AD116" s="104"/>
      <c r="AE116" s="104"/>
      <c r="AF116" s="104"/>
      <c r="AG116" s="104"/>
      <c r="AH116" s="104"/>
      <c r="AI116" s="104"/>
      <c r="AJ116" s="104"/>
      <c r="AK116" s="104"/>
      <c r="AL116" s="147"/>
      <c r="AM116" s="146"/>
      <c r="AN116" s="542">
        <v>34</v>
      </c>
      <c r="AO116" s="826"/>
      <c r="AP116" s="827"/>
      <c r="AR116" s="104"/>
      <c r="AS116" s="104"/>
      <c r="AT116" s="104"/>
      <c r="AU116" s="104"/>
      <c r="AV116" s="104"/>
      <c r="AW116" s="104"/>
      <c r="AX116" s="104"/>
      <c r="AY116" s="104"/>
      <c r="AZ116" s="104"/>
      <c r="BA116" s="104"/>
      <c r="BB116" s="104"/>
      <c r="BC116" s="104"/>
      <c r="BD116" s="104"/>
      <c r="BE116" s="147"/>
      <c r="BF116" s="146"/>
      <c r="BG116" s="542">
        <v>34</v>
      </c>
      <c r="BH116" s="826"/>
      <c r="BI116" s="827"/>
      <c r="BK116" s="104"/>
      <c r="BL116" s="104"/>
      <c r="BM116" s="104"/>
      <c r="BN116" s="104"/>
      <c r="BO116" s="104"/>
      <c r="BP116" s="104"/>
      <c r="BQ116" s="104"/>
      <c r="BR116" s="104"/>
      <c r="BS116" s="104"/>
      <c r="BT116" s="104"/>
      <c r="BU116" s="104"/>
      <c r="BV116" s="104"/>
      <c r="BW116" s="104"/>
      <c r="BX116" s="147"/>
      <c r="BY116" s="146"/>
      <c r="BZ116" s="542">
        <v>34</v>
      </c>
      <c r="CA116" s="826"/>
      <c r="CB116" s="827"/>
      <c r="CD116" s="104"/>
      <c r="CE116" s="104"/>
      <c r="CF116" s="104"/>
      <c r="CG116" s="104"/>
      <c r="CH116" s="104"/>
      <c r="CI116" s="104"/>
      <c r="CJ116" s="104"/>
      <c r="CK116" s="104"/>
      <c r="CL116" s="104"/>
      <c r="CM116" s="104"/>
      <c r="CN116" s="104"/>
      <c r="CO116" s="104"/>
      <c r="CP116" s="104"/>
      <c r="CQ116" s="147"/>
    </row>
    <row r="117" spans="1:95">
      <c r="A117" s="146"/>
      <c r="B117" s="542">
        <v>35</v>
      </c>
      <c r="C117" s="826"/>
      <c r="D117" s="827"/>
      <c r="F117" s="104"/>
      <c r="G117" s="104"/>
      <c r="H117" s="104"/>
      <c r="I117" s="104"/>
      <c r="J117" s="104"/>
      <c r="K117" s="104"/>
      <c r="L117" s="104"/>
      <c r="M117" s="104"/>
      <c r="N117" s="104"/>
      <c r="O117" s="104"/>
      <c r="P117" s="104"/>
      <c r="Q117" s="104"/>
      <c r="R117" s="104"/>
      <c r="S117" s="147"/>
      <c r="T117" s="146"/>
      <c r="U117" s="542">
        <v>35</v>
      </c>
      <c r="V117" s="826"/>
      <c r="W117" s="827"/>
      <c r="Y117" s="104"/>
      <c r="Z117" s="104"/>
      <c r="AA117" s="104"/>
      <c r="AB117" s="104"/>
      <c r="AC117" s="104"/>
      <c r="AD117" s="104"/>
      <c r="AE117" s="104"/>
      <c r="AF117" s="104"/>
      <c r="AG117" s="104"/>
      <c r="AH117" s="104"/>
      <c r="AI117" s="104"/>
      <c r="AJ117" s="104"/>
      <c r="AK117" s="104"/>
      <c r="AL117" s="147"/>
      <c r="AM117" s="146"/>
      <c r="AN117" s="542">
        <v>35</v>
      </c>
      <c r="AO117" s="826"/>
      <c r="AP117" s="827"/>
      <c r="AR117" s="104"/>
      <c r="AS117" s="104"/>
      <c r="AT117" s="104"/>
      <c r="AU117" s="104"/>
      <c r="AV117" s="104"/>
      <c r="AW117" s="104"/>
      <c r="AX117" s="104"/>
      <c r="AY117" s="104"/>
      <c r="AZ117" s="104"/>
      <c r="BA117" s="104"/>
      <c r="BB117" s="104"/>
      <c r="BC117" s="104"/>
      <c r="BD117" s="104"/>
      <c r="BE117" s="147"/>
      <c r="BF117" s="146"/>
      <c r="BG117" s="542">
        <v>35</v>
      </c>
      <c r="BH117" s="826"/>
      <c r="BI117" s="827"/>
      <c r="BK117" s="104"/>
      <c r="BL117" s="104"/>
      <c r="BM117" s="104"/>
      <c r="BN117" s="104"/>
      <c r="BO117" s="104"/>
      <c r="BP117" s="104"/>
      <c r="BQ117" s="104"/>
      <c r="BR117" s="104"/>
      <c r="BS117" s="104"/>
      <c r="BT117" s="104"/>
      <c r="BU117" s="104"/>
      <c r="BV117" s="104"/>
      <c r="BW117" s="104"/>
      <c r="BX117" s="147"/>
      <c r="BY117" s="146"/>
      <c r="BZ117" s="542">
        <v>35</v>
      </c>
      <c r="CA117" s="826"/>
      <c r="CB117" s="827"/>
      <c r="CD117" s="104"/>
      <c r="CE117" s="104"/>
      <c r="CF117" s="104"/>
      <c r="CG117" s="104"/>
      <c r="CH117" s="104"/>
      <c r="CI117" s="104"/>
      <c r="CJ117" s="104"/>
      <c r="CK117" s="104"/>
      <c r="CL117" s="104"/>
      <c r="CM117" s="104"/>
      <c r="CN117" s="104"/>
      <c r="CO117" s="104"/>
      <c r="CP117" s="104"/>
      <c r="CQ117" s="147"/>
    </row>
    <row r="118" spans="1:95">
      <c r="A118" s="146"/>
      <c r="B118" s="542">
        <v>36</v>
      </c>
      <c r="C118" s="826"/>
      <c r="D118" s="827"/>
      <c r="F118" s="104"/>
      <c r="G118" s="104"/>
      <c r="H118" s="104"/>
      <c r="I118" s="104"/>
      <c r="J118" s="104"/>
      <c r="K118" s="104"/>
      <c r="L118" s="104"/>
      <c r="M118" s="104"/>
      <c r="N118" s="104"/>
      <c r="O118" s="104"/>
      <c r="P118" s="104"/>
      <c r="Q118" s="104"/>
      <c r="R118" s="104"/>
      <c r="S118" s="147"/>
      <c r="T118" s="146"/>
      <c r="U118" s="542">
        <v>36</v>
      </c>
      <c r="V118" s="826"/>
      <c r="W118" s="827"/>
      <c r="Y118" s="104"/>
      <c r="Z118" s="104"/>
      <c r="AA118" s="104"/>
      <c r="AB118" s="104"/>
      <c r="AC118" s="104"/>
      <c r="AD118" s="104"/>
      <c r="AE118" s="104"/>
      <c r="AF118" s="104"/>
      <c r="AG118" s="104"/>
      <c r="AH118" s="104"/>
      <c r="AI118" s="104"/>
      <c r="AJ118" s="104"/>
      <c r="AK118" s="104"/>
      <c r="AL118" s="147"/>
      <c r="AM118" s="146"/>
      <c r="AN118" s="542">
        <v>36</v>
      </c>
      <c r="AO118" s="826"/>
      <c r="AP118" s="827"/>
      <c r="AR118" s="104"/>
      <c r="AS118" s="104"/>
      <c r="AT118" s="104"/>
      <c r="AU118" s="104"/>
      <c r="AV118" s="104"/>
      <c r="AW118" s="104"/>
      <c r="AX118" s="104"/>
      <c r="AY118" s="104"/>
      <c r="AZ118" s="104"/>
      <c r="BA118" s="104"/>
      <c r="BB118" s="104"/>
      <c r="BC118" s="104"/>
      <c r="BD118" s="104"/>
      <c r="BE118" s="147"/>
      <c r="BF118" s="146"/>
      <c r="BG118" s="542">
        <v>36</v>
      </c>
      <c r="BH118" s="826"/>
      <c r="BI118" s="827"/>
      <c r="BK118" s="104"/>
      <c r="BL118" s="104"/>
      <c r="BM118" s="104"/>
      <c r="BN118" s="104"/>
      <c r="BO118" s="104"/>
      <c r="BP118" s="104"/>
      <c r="BQ118" s="104"/>
      <c r="BR118" s="104"/>
      <c r="BS118" s="104"/>
      <c r="BT118" s="104"/>
      <c r="BU118" s="104"/>
      <c r="BV118" s="104"/>
      <c r="BW118" s="104"/>
      <c r="BX118" s="147"/>
      <c r="BY118" s="146"/>
      <c r="BZ118" s="542">
        <v>36</v>
      </c>
      <c r="CA118" s="826"/>
      <c r="CB118" s="827"/>
      <c r="CD118" s="104"/>
      <c r="CE118" s="104"/>
      <c r="CF118" s="104"/>
      <c r="CG118" s="104"/>
      <c r="CH118" s="104"/>
      <c r="CI118" s="104"/>
      <c r="CJ118" s="104"/>
      <c r="CK118" s="104"/>
      <c r="CL118" s="104"/>
      <c r="CM118" s="104"/>
      <c r="CN118" s="104"/>
      <c r="CO118" s="104"/>
      <c r="CP118" s="104"/>
      <c r="CQ118" s="147"/>
    </row>
    <row r="119" spans="1:95">
      <c r="A119" s="146"/>
      <c r="B119" s="542">
        <v>37</v>
      </c>
      <c r="C119" s="826"/>
      <c r="D119" s="827"/>
      <c r="F119" s="104"/>
      <c r="G119" s="104"/>
      <c r="H119" s="104"/>
      <c r="I119" s="104"/>
      <c r="J119" s="104"/>
      <c r="K119" s="104"/>
      <c r="L119" s="104"/>
      <c r="M119" s="104"/>
      <c r="N119" s="104"/>
      <c r="O119" s="104"/>
      <c r="P119" s="104"/>
      <c r="Q119" s="104"/>
      <c r="R119" s="104"/>
      <c r="S119" s="147"/>
      <c r="T119" s="146"/>
      <c r="U119" s="542">
        <v>37</v>
      </c>
      <c r="V119" s="826"/>
      <c r="W119" s="827"/>
      <c r="Y119" s="104"/>
      <c r="Z119" s="104"/>
      <c r="AA119" s="104"/>
      <c r="AB119" s="104"/>
      <c r="AC119" s="104"/>
      <c r="AD119" s="104"/>
      <c r="AE119" s="104"/>
      <c r="AF119" s="104"/>
      <c r="AG119" s="104"/>
      <c r="AH119" s="104"/>
      <c r="AI119" s="104"/>
      <c r="AJ119" s="104"/>
      <c r="AK119" s="104"/>
      <c r="AL119" s="147"/>
      <c r="AM119" s="146"/>
      <c r="AN119" s="542">
        <v>37</v>
      </c>
      <c r="AO119" s="826"/>
      <c r="AP119" s="827"/>
      <c r="AR119" s="104"/>
      <c r="AS119" s="104"/>
      <c r="AT119" s="104"/>
      <c r="AU119" s="104"/>
      <c r="AV119" s="104"/>
      <c r="AW119" s="104"/>
      <c r="AX119" s="104"/>
      <c r="AY119" s="104"/>
      <c r="AZ119" s="104"/>
      <c r="BA119" s="104"/>
      <c r="BB119" s="104"/>
      <c r="BC119" s="104"/>
      <c r="BD119" s="104"/>
      <c r="BE119" s="147"/>
      <c r="BF119" s="146"/>
      <c r="BG119" s="542">
        <v>37</v>
      </c>
      <c r="BH119" s="826"/>
      <c r="BI119" s="827"/>
      <c r="BK119" s="104"/>
      <c r="BL119" s="104"/>
      <c r="BM119" s="104"/>
      <c r="BN119" s="104"/>
      <c r="BO119" s="104"/>
      <c r="BP119" s="104"/>
      <c r="BQ119" s="104"/>
      <c r="BR119" s="104"/>
      <c r="BS119" s="104"/>
      <c r="BT119" s="104"/>
      <c r="BU119" s="104"/>
      <c r="BV119" s="104"/>
      <c r="BW119" s="104"/>
      <c r="BX119" s="147"/>
      <c r="BY119" s="146"/>
      <c r="BZ119" s="542">
        <v>37</v>
      </c>
      <c r="CA119" s="826"/>
      <c r="CB119" s="827"/>
      <c r="CD119" s="104"/>
      <c r="CE119" s="104"/>
      <c r="CF119" s="104"/>
      <c r="CG119" s="104"/>
      <c r="CH119" s="104"/>
      <c r="CI119" s="104"/>
      <c r="CJ119" s="104"/>
      <c r="CK119" s="104"/>
      <c r="CL119" s="104"/>
      <c r="CM119" s="104"/>
      <c r="CN119" s="104"/>
      <c r="CO119" s="104"/>
      <c r="CP119" s="104"/>
      <c r="CQ119" s="147"/>
    </row>
    <row r="120" spans="1:95">
      <c r="A120" s="146"/>
      <c r="B120" s="542">
        <v>38</v>
      </c>
      <c r="C120" s="826"/>
      <c r="D120" s="827"/>
      <c r="F120" s="104"/>
      <c r="G120" s="104"/>
      <c r="H120" s="104"/>
      <c r="I120" s="104"/>
      <c r="J120" s="104"/>
      <c r="K120" s="104"/>
      <c r="L120" s="104"/>
      <c r="M120" s="104"/>
      <c r="N120" s="104"/>
      <c r="O120" s="104"/>
      <c r="P120" s="104"/>
      <c r="Q120" s="104"/>
      <c r="R120" s="104"/>
      <c r="S120" s="147"/>
      <c r="T120" s="146"/>
      <c r="U120" s="542">
        <v>38</v>
      </c>
      <c r="V120" s="826"/>
      <c r="W120" s="827"/>
      <c r="Y120" s="104"/>
      <c r="Z120" s="104"/>
      <c r="AA120" s="104"/>
      <c r="AB120" s="104"/>
      <c r="AC120" s="104"/>
      <c r="AD120" s="104"/>
      <c r="AE120" s="104"/>
      <c r="AF120" s="104"/>
      <c r="AG120" s="104"/>
      <c r="AH120" s="104"/>
      <c r="AI120" s="104"/>
      <c r="AJ120" s="104"/>
      <c r="AK120" s="104"/>
      <c r="AL120" s="147"/>
      <c r="AM120" s="146"/>
      <c r="AN120" s="542">
        <v>38</v>
      </c>
      <c r="AO120" s="826"/>
      <c r="AP120" s="827"/>
      <c r="AR120" s="104"/>
      <c r="AS120" s="104"/>
      <c r="AT120" s="104"/>
      <c r="AU120" s="104"/>
      <c r="AV120" s="104"/>
      <c r="AW120" s="104"/>
      <c r="AX120" s="104"/>
      <c r="AY120" s="104"/>
      <c r="AZ120" s="104"/>
      <c r="BA120" s="104"/>
      <c r="BB120" s="104"/>
      <c r="BC120" s="104"/>
      <c r="BD120" s="104"/>
      <c r="BE120" s="147"/>
      <c r="BF120" s="146"/>
      <c r="BG120" s="542">
        <v>38</v>
      </c>
      <c r="BH120" s="826"/>
      <c r="BI120" s="827"/>
      <c r="BK120" s="104"/>
      <c r="BL120" s="104"/>
      <c r="BM120" s="104"/>
      <c r="BN120" s="104"/>
      <c r="BO120" s="104"/>
      <c r="BP120" s="104"/>
      <c r="BQ120" s="104"/>
      <c r="BR120" s="104"/>
      <c r="BS120" s="104"/>
      <c r="BT120" s="104"/>
      <c r="BU120" s="104"/>
      <c r="BV120" s="104"/>
      <c r="BW120" s="104"/>
      <c r="BX120" s="147"/>
      <c r="BY120" s="146"/>
      <c r="BZ120" s="542">
        <v>38</v>
      </c>
      <c r="CA120" s="826"/>
      <c r="CB120" s="827"/>
      <c r="CD120" s="104"/>
      <c r="CE120" s="104"/>
      <c r="CF120" s="104"/>
      <c r="CG120" s="104"/>
      <c r="CH120" s="104"/>
      <c r="CI120" s="104"/>
      <c r="CJ120" s="104"/>
      <c r="CK120" s="104"/>
      <c r="CL120" s="104"/>
      <c r="CM120" s="104"/>
      <c r="CN120" s="104"/>
      <c r="CO120" s="104"/>
      <c r="CP120" s="104"/>
      <c r="CQ120" s="147"/>
    </row>
    <row r="121" spans="1:95">
      <c r="A121" s="146"/>
      <c r="B121" s="542">
        <v>39</v>
      </c>
      <c r="C121" s="826"/>
      <c r="D121" s="827"/>
      <c r="F121" s="104"/>
      <c r="G121" s="104"/>
      <c r="H121" s="104"/>
      <c r="I121" s="104"/>
      <c r="J121" s="104"/>
      <c r="K121" s="104"/>
      <c r="L121" s="104"/>
      <c r="M121" s="104"/>
      <c r="N121" s="104"/>
      <c r="O121" s="104"/>
      <c r="P121" s="104"/>
      <c r="Q121" s="104"/>
      <c r="R121" s="104"/>
      <c r="S121" s="147"/>
      <c r="T121" s="146"/>
      <c r="U121" s="542">
        <v>39</v>
      </c>
      <c r="V121" s="826"/>
      <c r="W121" s="827"/>
      <c r="Y121" s="104"/>
      <c r="Z121" s="104"/>
      <c r="AA121" s="104"/>
      <c r="AB121" s="104"/>
      <c r="AC121" s="104"/>
      <c r="AD121" s="104"/>
      <c r="AE121" s="104"/>
      <c r="AF121" s="104"/>
      <c r="AG121" s="104"/>
      <c r="AH121" s="104"/>
      <c r="AI121" s="104"/>
      <c r="AJ121" s="104"/>
      <c r="AK121" s="104"/>
      <c r="AL121" s="147"/>
      <c r="AM121" s="146"/>
      <c r="AN121" s="542">
        <v>39</v>
      </c>
      <c r="AO121" s="826"/>
      <c r="AP121" s="827"/>
      <c r="AR121" s="104"/>
      <c r="AS121" s="104"/>
      <c r="AT121" s="104"/>
      <c r="AU121" s="104"/>
      <c r="AV121" s="104"/>
      <c r="AW121" s="104"/>
      <c r="AX121" s="104"/>
      <c r="AY121" s="104"/>
      <c r="AZ121" s="104"/>
      <c r="BA121" s="104"/>
      <c r="BB121" s="104"/>
      <c r="BC121" s="104"/>
      <c r="BD121" s="104"/>
      <c r="BE121" s="147"/>
      <c r="BF121" s="146"/>
      <c r="BG121" s="542">
        <v>39</v>
      </c>
      <c r="BH121" s="826"/>
      <c r="BI121" s="827"/>
      <c r="BK121" s="104"/>
      <c r="BL121" s="104"/>
      <c r="BM121" s="104"/>
      <c r="BN121" s="104"/>
      <c r="BO121" s="104"/>
      <c r="BP121" s="104"/>
      <c r="BQ121" s="104"/>
      <c r="BR121" s="104"/>
      <c r="BS121" s="104"/>
      <c r="BT121" s="104"/>
      <c r="BU121" s="104"/>
      <c r="BV121" s="104"/>
      <c r="BW121" s="104"/>
      <c r="BX121" s="147"/>
      <c r="BY121" s="146"/>
      <c r="BZ121" s="542">
        <v>39</v>
      </c>
      <c r="CA121" s="826"/>
      <c r="CB121" s="827"/>
      <c r="CD121" s="104"/>
      <c r="CE121" s="104"/>
      <c r="CF121" s="104"/>
      <c r="CG121" s="104"/>
      <c r="CH121" s="104"/>
      <c r="CI121" s="104"/>
      <c r="CJ121" s="104"/>
      <c r="CK121" s="104"/>
      <c r="CL121" s="104"/>
      <c r="CM121" s="104"/>
      <c r="CN121" s="104"/>
      <c r="CO121" s="104"/>
      <c r="CP121" s="104"/>
      <c r="CQ121" s="147"/>
    </row>
    <row r="122" spans="1:95">
      <c r="A122" s="146"/>
      <c r="B122" s="542">
        <v>40</v>
      </c>
      <c r="C122" s="826"/>
      <c r="D122" s="827"/>
      <c r="F122" s="104"/>
      <c r="G122" s="104"/>
      <c r="H122" s="104"/>
      <c r="I122" s="104"/>
      <c r="J122" s="104"/>
      <c r="K122" s="104"/>
      <c r="L122" s="104"/>
      <c r="M122" s="104"/>
      <c r="N122" s="104"/>
      <c r="O122" s="104"/>
      <c r="P122" s="104"/>
      <c r="Q122" s="104"/>
      <c r="R122" s="104"/>
      <c r="S122" s="147"/>
      <c r="T122" s="146"/>
      <c r="U122" s="542">
        <v>40</v>
      </c>
      <c r="V122" s="826"/>
      <c r="W122" s="827"/>
      <c r="Y122" s="104"/>
      <c r="Z122" s="104"/>
      <c r="AA122" s="104"/>
      <c r="AB122" s="104"/>
      <c r="AC122" s="104"/>
      <c r="AD122" s="104"/>
      <c r="AE122" s="104"/>
      <c r="AF122" s="104"/>
      <c r="AG122" s="104"/>
      <c r="AH122" s="104"/>
      <c r="AI122" s="104"/>
      <c r="AJ122" s="104"/>
      <c r="AK122" s="104"/>
      <c r="AL122" s="147"/>
      <c r="AM122" s="146"/>
      <c r="AN122" s="542">
        <v>40</v>
      </c>
      <c r="AO122" s="826"/>
      <c r="AP122" s="827"/>
      <c r="AR122" s="104"/>
      <c r="AS122" s="104"/>
      <c r="AT122" s="104"/>
      <c r="AU122" s="104"/>
      <c r="AV122" s="104"/>
      <c r="AW122" s="104"/>
      <c r="AX122" s="104"/>
      <c r="AY122" s="104"/>
      <c r="AZ122" s="104"/>
      <c r="BA122" s="104"/>
      <c r="BB122" s="104"/>
      <c r="BC122" s="104"/>
      <c r="BD122" s="104"/>
      <c r="BE122" s="147"/>
      <c r="BF122" s="146"/>
      <c r="BG122" s="542">
        <v>40</v>
      </c>
      <c r="BH122" s="826"/>
      <c r="BI122" s="827"/>
      <c r="BK122" s="104"/>
      <c r="BL122" s="104"/>
      <c r="BM122" s="104"/>
      <c r="BN122" s="104"/>
      <c r="BO122" s="104"/>
      <c r="BP122" s="104"/>
      <c r="BQ122" s="104"/>
      <c r="BR122" s="104"/>
      <c r="BS122" s="104"/>
      <c r="BT122" s="104"/>
      <c r="BU122" s="104"/>
      <c r="BV122" s="104"/>
      <c r="BW122" s="104"/>
      <c r="BX122" s="147"/>
      <c r="BY122" s="146"/>
      <c r="BZ122" s="542">
        <v>40</v>
      </c>
      <c r="CA122" s="826"/>
      <c r="CB122" s="827"/>
      <c r="CD122" s="104"/>
      <c r="CE122" s="104"/>
      <c r="CF122" s="104"/>
      <c r="CG122" s="104"/>
      <c r="CH122" s="104"/>
      <c r="CI122" s="104"/>
      <c r="CJ122" s="104"/>
      <c r="CK122" s="104"/>
      <c r="CL122" s="104"/>
      <c r="CM122" s="104"/>
      <c r="CN122" s="104"/>
      <c r="CO122" s="104"/>
      <c r="CP122" s="104"/>
      <c r="CQ122" s="147"/>
    </row>
    <row r="123" spans="1:95">
      <c r="A123" s="146"/>
      <c r="B123" s="542">
        <v>41</v>
      </c>
      <c r="C123" s="826"/>
      <c r="D123" s="827"/>
      <c r="F123" s="104"/>
      <c r="G123" s="104"/>
      <c r="H123" s="104"/>
      <c r="I123" s="104"/>
      <c r="J123" s="104"/>
      <c r="K123" s="104"/>
      <c r="L123" s="104"/>
      <c r="M123" s="104"/>
      <c r="N123" s="104"/>
      <c r="O123" s="104"/>
      <c r="P123" s="104"/>
      <c r="Q123" s="104"/>
      <c r="R123" s="104"/>
      <c r="S123" s="147"/>
      <c r="T123" s="146"/>
      <c r="U123" s="542">
        <v>41</v>
      </c>
      <c r="V123" s="826"/>
      <c r="W123" s="827"/>
      <c r="Y123" s="104"/>
      <c r="Z123" s="104"/>
      <c r="AA123" s="104"/>
      <c r="AB123" s="104"/>
      <c r="AC123" s="104"/>
      <c r="AD123" s="104"/>
      <c r="AE123" s="104"/>
      <c r="AF123" s="104"/>
      <c r="AG123" s="104"/>
      <c r="AH123" s="104"/>
      <c r="AI123" s="104"/>
      <c r="AJ123" s="104"/>
      <c r="AK123" s="104"/>
      <c r="AL123" s="147"/>
      <c r="AM123" s="146"/>
      <c r="AN123" s="542">
        <v>41</v>
      </c>
      <c r="AO123" s="826"/>
      <c r="AP123" s="827"/>
      <c r="AR123" s="104"/>
      <c r="AS123" s="104"/>
      <c r="AT123" s="104"/>
      <c r="AU123" s="104"/>
      <c r="AV123" s="104"/>
      <c r="AW123" s="104"/>
      <c r="AX123" s="104"/>
      <c r="AY123" s="104"/>
      <c r="AZ123" s="104"/>
      <c r="BA123" s="104"/>
      <c r="BB123" s="104"/>
      <c r="BC123" s="104"/>
      <c r="BD123" s="104"/>
      <c r="BE123" s="147"/>
      <c r="BF123" s="146"/>
      <c r="BG123" s="542">
        <v>41</v>
      </c>
      <c r="BH123" s="826"/>
      <c r="BI123" s="827"/>
      <c r="BK123" s="104"/>
      <c r="BL123" s="104"/>
      <c r="BM123" s="104"/>
      <c r="BN123" s="104"/>
      <c r="BO123" s="104"/>
      <c r="BP123" s="104"/>
      <c r="BQ123" s="104"/>
      <c r="BR123" s="104"/>
      <c r="BS123" s="104"/>
      <c r="BT123" s="104"/>
      <c r="BU123" s="104"/>
      <c r="BV123" s="104"/>
      <c r="BW123" s="104"/>
      <c r="BX123" s="147"/>
      <c r="BY123" s="146"/>
      <c r="BZ123" s="542">
        <v>41</v>
      </c>
      <c r="CA123" s="826"/>
      <c r="CB123" s="827"/>
      <c r="CD123" s="104"/>
      <c r="CE123" s="104"/>
      <c r="CF123" s="104"/>
      <c r="CG123" s="104"/>
      <c r="CH123" s="104"/>
      <c r="CI123" s="104"/>
      <c r="CJ123" s="104"/>
      <c r="CK123" s="104"/>
      <c r="CL123" s="104"/>
      <c r="CM123" s="104"/>
      <c r="CN123" s="104"/>
      <c r="CO123" s="104"/>
      <c r="CP123" s="104"/>
      <c r="CQ123" s="147"/>
    </row>
    <row r="124" spans="1:95">
      <c r="A124" s="146"/>
      <c r="B124" s="542">
        <v>42</v>
      </c>
      <c r="C124" s="826"/>
      <c r="D124" s="827"/>
      <c r="F124" s="104"/>
      <c r="G124" s="104"/>
      <c r="H124" s="104"/>
      <c r="I124" s="104"/>
      <c r="J124" s="104"/>
      <c r="K124" s="104"/>
      <c r="L124" s="104"/>
      <c r="M124" s="104"/>
      <c r="N124" s="104"/>
      <c r="O124" s="104"/>
      <c r="P124" s="104"/>
      <c r="Q124" s="104"/>
      <c r="R124" s="104"/>
      <c r="S124" s="147"/>
      <c r="T124" s="146"/>
      <c r="U124" s="542">
        <v>42</v>
      </c>
      <c r="V124" s="826"/>
      <c r="W124" s="827"/>
      <c r="Y124" s="104"/>
      <c r="Z124" s="104"/>
      <c r="AA124" s="104"/>
      <c r="AB124" s="104"/>
      <c r="AC124" s="104"/>
      <c r="AD124" s="104"/>
      <c r="AE124" s="104"/>
      <c r="AF124" s="104"/>
      <c r="AG124" s="104"/>
      <c r="AH124" s="104"/>
      <c r="AI124" s="104"/>
      <c r="AJ124" s="104"/>
      <c r="AK124" s="104"/>
      <c r="AL124" s="147"/>
      <c r="AM124" s="146"/>
      <c r="AN124" s="542">
        <v>42</v>
      </c>
      <c r="AO124" s="826"/>
      <c r="AP124" s="827"/>
      <c r="AR124" s="104"/>
      <c r="AS124" s="104"/>
      <c r="AT124" s="104"/>
      <c r="AU124" s="104"/>
      <c r="AV124" s="104"/>
      <c r="AW124" s="104"/>
      <c r="AX124" s="104"/>
      <c r="AY124" s="104"/>
      <c r="AZ124" s="104"/>
      <c r="BA124" s="104"/>
      <c r="BB124" s="104"/>
      <c r="BC124" s="104"/>
      <c r="BD124" s="104"/>
      <c r="BE124" s="147"/>
      <c r="BF124" s="146"/>
      <c r="BG124" s="542">
        <v>42</v>
      </c>
      <c r="BH124" s="826"/>
      <c r="BI124" s="827"/>
      <c r="BK124" s="104"/>
      <c r="BL124" s="104"/>
      <c r="BM124" s="104"/>
      <c r="BN124" s="104"/>
      <c r="BO124" s="104"/>
      <c r="BP124" s="104"/>
      <c r="BQ124" s="104"/>
      <c r="BR124" s="104"/>
      <c r="BS124" s="104"/>
      <c r="BT124" s="104"/>
      <c r="BU124" s="104"/>
      <c r="BV124" s="104"/>
      <c r="BW124" s="104"/>
      <c r="BX124" s="147"/>
      <c r="BY124" s="146"/>
      <c r="BZ124" s="542">
        <v>42</v>
      </c>
      <c r="CA124" s="826"/>
      <c r="CB124" s="827"/>
      <c r="CD124" s="104"/>
      <c r="CE124" s="104"/>
      <c r="CF124" s="104"/>
      <c r="CG124" s="104"/>
      <c r="CH124" s="104"/>
      <c r="CI124" s="104"/>
      <c r="CJ124" s="104"/>
      <c r="CK124" s="104"/>
      <c r="CL124" s="104"/>
      <c r="CM124" s="104"/>
      <c r="CN124" s="104"/>
      <c r="CO124" s="104"/>
      <c r="CP124" s="104"/>
      <c r="CQ124" s="147"/>
    </row>
    <row r="125" spans="1:95">
      <c r="A125" s="146"/>
      <c r="B125" s="542">
        <v>43</v>
      </c>
      <c r="C125" s="826"/>
      <c r="D125" s="827"/>
      <c r="F125" s="104"/>
      <c r="G125" s="104"/>
      <c r="H125" s="104"/>
      <c r="I125" s="104"/>
      <c r="J125" s="104"/>
      <c r="K125" s="104"/>
      <c r="L125" s="104"/>
      <c r="M125" s="104"/>
      <c r="N125" s="104"/>
      <c r="O125" s="104"/>
      <c r="P125" s="104"/>
      <c r="Q125" s="104"/>
      <c r="R125" s="104"/>
      <c r="S125" s="147"/>
      <c r="T125" s="146"/>
      <c r="U125" s="542">
        <v>43</v>
      </c>
      <c r="V125" s="826"/>
      <c r="W125" s="827"/>
      <c r="Y125" s="104"/>
      <c r="Z125" s="104"/>
      <c r="AA125" s="104"/>
      <c r="AB125" s="104"/>
      <c r="AC125" s="104"/>
      <c r="AD125" s="104"/>
      <c r="AE125" s="104"/>
      <c r="AF125" s="104"/>
      <c r="AG125" s="104"/>
      <c r="AH125" s="104"/>
      <c r="AI125" s="104"/>
      <c r="AJ125" s="104"/>
      <c r="AK125" s="104"/>
      <c r="AL125" s="147"/>
      <c r="AM125" s="146"/>
      <c r="AN125" s="542">
        <v>43</v>
      </c>
      <c r="AO125" s="826"/>
      <c r="AP125" s="827"/>
      <c r="AR125" s="104"/>
      <c r="AS125" s="104"/>
      <c r="AT125" s="104"/>
      <c r="AU125" s="104"/>
      <c r="AV125" s="104"/>
      <c r="AW125" s="104"/>
      <c r="AX125" s="104"/>
      <c r="AY125" s="104"/>
      <c r="AZ125" s="104"/>
      <c r="BA125" s="104"/>
      <c r="BB125" s="104"/>
      <c r="BC125" s="104"/>
      <c r="BD125" s="104"/>
      <c r="BE125" s="147"/>
      <c r="BF125" s="146"/>
      <c r="BG125" s="542">
        <v>43</v>
      </c>
      <c r="BH125" s="826"/>
      <c r="BI125" s="827"/>
      <c r="BK125" s="104"/>
      <c r="BL125" s="104"/>
      <c r="BM125" s="104"/>
      <c r="BN125" s="104"/>
      <c r="BO125" s="104"/>
      <c r="BP125" s="104"/>
      <c r="BQ125" s="104"/>
      <c r="BR125" s="104"/>
      <c r="BS125" s="104"/>
      <c r="BT125" s="104"/>
      <c r="BU125" s="104"/>
      <c r="BV125" s="104"/>
      <c r="BW125" s="104"/>
      <c r="BX125" s="147"/>
      <c r="BY125" s="146"/>
      <c r="BZ125" s="542">
        <v>43</v>
      </c>
      <c r="CA125" s="826"/>
      <c r="CB125" s="827"/>
      <c r="CD125" s="104"/>
      <c r="CE125" s="104"/>
      <c r="CF125" s="104"/>
      <c r="CG125" s="104"/>
      <c r="CH125" s="104"/>
      <c r="CI125" s="104"/>
      <c r="CJ125" s="104"/>
      <c r="CK125" s="104"/>
      <c r="CL125" s="104"/>
      <c r="CM125" s="104"/>
      <c r="CN125" s="104"/>
      <c r="CO125" s="104"/>
      <c r="CP125" s="104"/>
      <c r="CQ125" s="147"/>
    </row>
    <row r="126" spans="1:95">
      <c r="A126" s="146"/>
      <c r="B126" s="542">
        <v>44</v>
      </c>
      <c r="C126" s="826"/>
      <c r="D126" s="827"/>
      <c r="F126" s="104"/>
      <c r="G126" s="104"/>
      <c r="H126" s="104"/>
      <c r="I126" s="104"/>
      <c r="J126" s="104"/>
      <c r="K126" s="104"/>
      <c r="L126" s="104"/>
      <c r="M126" s="104"/>
      <c r="N126" s="104"/>
      <c r="O126" s="104"/>
      <c r="P126" s="104"/>
      <c r="Q126" s="104"/>
      <c r="R126" s="104"/>
      <c r="S126" s="147"/>
      <c r="T126" s="146"/>
      <c r="U126" s="542">
        <v>44</v>
      </c>
      <c r="V126" s="826"/>
      <c r="W126" s="827"/>
      <c r="Y126" s="104"/>
      <c r="Z126" s="104"/>
      <c r="AA126" s="104"/>
      <c r="AB126" s="104"/>
      <c r="AC126" s="104"/>
      <c r="AD126" s="104"/>
      <c r="AE126" s="104"/>
      <c r="AF126" s="104"/>
      <c r="AG126" s="104"/>
      <c r="AH126" s="104"/>
      <c r="AI126" s="104"/>
      <c r="AJ126" s="104"/>
      <c r="AK126" s="104"/>
      <c r="AL126" s="147"/>
      <c r="AM126" s="146"/>
      <c r="AN126" s="542">
        <v>44</v>
      </c>
      <c r="AO126" s="826"/>
      <c r="AP126" s="827"/>
      <c r="AR126" s="104"/>
      <c r="AS126" s="104"/>
      <c r="AT126" s="104"/>
      <c r="AU126" s="104"/>
      <c r="AV126" s="104"/>
      <c r="AW126" s="104"/>
      <c r="AX126" s="104"/>
      <c r="AY126" s="104"/>
      <c r="AZ126" s="104"/>
      <c r="BA126" s="104"/>
      <c r="BB126" s="104"/>
      <c r="BC126" s="104"/>
      <c r="BD126" s="104"/>
      <c r="BE126" s="147"/>
      <c r="BF126" s="146"/>
      <c r="BG126" s="542">
        <v>44</v>
      </c>
      <c r="BH126" s="826"/>
      <c r="BI126" s="827"/>
      <c r="BK126" s="104"/>
      <c r="BL126" s="104"/>
      <c r="BM126" s="104"/>
      <c r="BN126" s="104"/>
      <c r="BO126" s="104"/>
      <c r="BP126" s="104"/>
      <c r="BQ126" s="104"/>
      <c r="BR126" s="104"/>
      <c r="BS126" s="104"/>
      <c r="BT126" s="104"/>
      <c r="BU126" s="104"/>
      <c r="BV126" s="104"/>
      <c r="BW126" s="104"/>
      <c r="BX126" s="147"/>
      <c r="BY126" s="146"/>
      <c r="BZ126" s="542">
        <v>44</v>
      </c>
      <c r="CA126" s="826"/>
      <c r="CB126" s="827"/>
      <c r="CD126" s="104"/>
      <c r="CE126" s="104"/>
      <c r="CF126" s="104"/>
      <c r="CG126" s="104"/>
      <c r="CH126" s="104"/>
      <c r="CI126" s="104"/>
      <c r="CJ126" s="104"/>
      <c r="CK126" s="104"/>
      <c r="CL126" s="104"/>
      <c r="CM126" s="104"/>
      <c r="CN126" s="104"/>
      <c r="CO126" s="104"/>
      <c r="CP126" s="104"/>
      <c r="CQ126" s="147"/>
    </row>
    <row r="127" spans="1:95">
      <c r="A127" s="146"/>
      <c r="B127" s="542">
        <v>45</v>
      </c>
      <c r="C127" s="826"/>
      <c r="D127" s="827"/>
      <c r="F127" s="104"/>
      <c r="G127" s="104"/>
      <c r="H127" s="104"/>
      <c r="I127" s="104"/>
      <c r="J127" s="104"/>
      <c r="K127" s="104"/>
      <c r="L127" s="104"/>
      <c r="M127" s="104"/>
      <c r="N127" s="104"/>
      <c r="O127" s="104"/>
      <c r="P127" s="104"/>
      <c r="Q127" s="104"/>
      <c r="R127" s="104"/>
      <c r="S127" s="147"/>
      <c r="T127" s="146"/>
      <c r="U127" s="542">
        <v>45</v>
      </c>
      <c r="V127" s="826"/>
      <c r="W127" s="827"/>
      <c r="Y127" s="104"/>
      <c r="Z127" s="104"/>
      <c r="AA127" s="104"/>
      <c r="AB127" s="104"/>
      <c r="AC127" s="104"/>
      <c r="AD127" s="104"/>
      <c r="AE127" s="104"/>
      <c r="AF127" s="104"/>
      <c r="AG127" s="104"/>
      <c r="AH127" s="104"/>
      <c r="AI127" s="104"/>
      <c r="AJ127" s="104"/>
      <c r="AK127" s="104"/>
      <c r="AL127" s="147"/>
      <c r="AM127" s="146"/>
      <c r="AN127" s="542">
        <v>45</v>
      </c>
      <c r="AO127" s="826"/>
      <c r="AP127" s="827"/>
      <c r="AR127" s="104"/>
      <c r="AS127" s="104"/>
      <c r="AT127" s="104"/>
      <c r="AU127" s="104"/>
      <c r="AV127" s="104"/>
      <c r="AW127" s="104"/>
      <c r="AX127" s="104"/>
      <c r="AY127" s="104"/>
      <c r="AZ127" s="104"/>
      <c r="BA127" s="104"/>
      <c r="BB127" s="104"/>
      <c r="BC127" s="104"/>
      <c r="BD127" s="104"/>
      <c r="BE127" s="147"/>
      <c r="BF127" s="146"/>
      <c r="BG127" s="542">
        <v>45</v>
      </c>
      <c r="BH127" s="826"/>
      <c r="BI127" s="827"/>
      <c r="BK127" s="104"/>
      <c r="BL127" s="104"/>
      <c r="BM127" s="104"/>
      <c r="BN127" s="104"/>
      <c r="BO127" s="104"/>
      <c r="BP127" s="104"/>
      <c r="BQ127" s="104"/>
      <c r="BR127" s="104"/>
      <c r="BS127" s="104"/>
      <c r="BT127" s="104"/>
      <c r="BU127" s="104"/>
      <c r="BV127" s="104"/>
      <c r="BW127" s="104"/>
      <c r="BX127" s="147"/>
      <c r="BY127" s="146"/>
      <c r="BZ127" s="542">
        <v>45</v>
      </c>
      <c r="CA127" s="826"/>
      <c r="CB127" s="827"/>
      <c r="CD127" s="104"/>
      <c r="CE127" s="104"/>
      <c r="CF127" s="104"/>
      <c r="CG127" s="104"/>
      <c r="CH127" s="104"/>
      <c r="CI127" s="104"/>
      <c r="CJ127" s="104"/>
      <c r="CK127" s="104"/>
      <c r="CL127" s="104"/>
      <c r="CM127" s="104"/>
      <c r="CN127" s="104"/>
      <c r="CO127" s="104"/>
      <c r="CP127" s="104"/>
      <c r="CQ127" s="147"/>
    </row>
    <row r="128" spans="1:95">
      <c r="A128" s="146"/>
      <c r="B128" s="542">
        <v>46</v>
      </c>
      <c r="C128" s="826"/>
      <c r="D128" s="827"/>
      <c r="F128" s="104"/>
      <c r="G128" s="104"/>
      <c r="H128" s="104"/>
      <c r="I128" s="104"/>
      <c r="J128" s="104"/>
      <c r="K128" s="104"/>
      <c r="L128" s="104"/>
      <c r="M128" s="104"/>
      <c r="N128" s="104"/>
      <c r="O128" s="104"/>
      <c r="P128" s="104"/>
      <c r="Q128" s="104"/>
      <c r="R128" s="104"/>
      <c r="S128" s="147"/>
      <c r="T128" s="146"/>
      <c r="U128" s="542">
        <v>46</v>
      </c>
      <c r="V128" s="826"/>
      <c r="W128" s="827"/>
      <c r="Y128" s="104"/>
      <c r="Z128" s="104"/>
      <c r="AA128" s="104"/>
      <c r="AB128" s="104"/>
      <c r="AC128" s="104"/>
      <c r="AD128" s="104"/>
      <c r="AE128" s="104"/>
      <c r="AF128" s="104"/>
      <c r="AG128" s="104"/>
      <c r="AH128" s="104"/>
      <c r="AI128" s="104"/>
      <c r="AJ128" s="104"/>
      <c r="AK128" s="104"/>
      <c r="AL128" s="147"/>
      <c r="AM128" s="146"/>
      <c r="AN128" s="542">
        <v>46</v>
      </c>
      <c r="AO128" s="826"/>
      <c r="AP128" s="827"/>
      <c r="AR128" s="104"/>
      <c r="AS128" s="104"/>
      <c r="AT128" s="104"/>
      <c r="AU128" s="104"/>
      <c r="AV128" s="104"/>
      <c r="AW128" s="104"/>
      <c r="AX128" s="104"/>
      <c r="AY128" s="104"/>
      <c r="AZ128" s="104"/>
      <c r="BA128" s="104"/>
      <c r="BB128" s="104"/>
      <c r="BC128" s="104"/>
      <c r="BD128" s="104"/>
      <c r="BE128" s="147"/>
      <c r="BF128" s="146"/>
      <c r="BG128" s="542">
        <v>46</v>
      </c>
      <c r="BH128" s="826"/>
      <c r="BI128" s="827"/>
      <c r="BK128" s="104"/>
      <c r="BL128" s="104"/>
      <c r="BM128" s="104"/>
      <c r="BN128" s="104"/>
      <c r="BO128" s="104"/>
      <c r="BP128" s="104"/>
      <c r="BQ128" s="104"/>
      <c r="BR128" s="104"/>
      <c r="BS128" s="104"/>
      <c r="BT128" s="104"/>
      <c r="BU128" s="104"/>
      <c r="BV128" s="104"/>
      <c r="BW128" s="104"/>
      <c r="BX128" s="147"/>
      <c r="BY128" s="146"/>
      <c r="BZ128" s="542">
        <v>46</v>
      </c>
      <c r="CA128" s="826"/>
      <c r="CB128" s="827"/>
      <c r="CD128" s="104"/>
      <c r="CE128" s="104"/>
      <c r="CF128" s="104"/>
      <c r="CG128" s="104"/>
      <c r="CH128" s="104"/>
      <c r="CI128" s="104"/>
      <c r="CJ128" s="104"/>
      <c r="CK128" s="104"/>
      <c r="CL128" s="104"/>
      <c r="CM128" s="104"/>
      <c r="CN128" s="104"/>
      <c r="CO128" s="104"/>
      <c r="CP128" s="104"/>
      <c r="CQ128" s="147"/>
    </row>
    <row r="129" spans="1:95">
      <c r="A129" s="146"/>
      <c r="B129" s="542">
        <v>47</v>
      </c>
      <c r="C129" s="826"/>
      <c r="D129" s="827"/>
      <c r="F129" s="104"/>
      <c r="G129" s="104"/>
      <c r="H129" s="104"/>
      <c r="I129" s="104"/>
      <c r="J129" s="104"/>
      <c r="K129" s="104"/>
      <c r="L129" s="104"/>
      <c r="M129" s="104"/>
      <c r="N129" s="104"/>
      <c r="O129" s="104"/>
      <c r="P129" s="104"/>
      <c r="Q129" s="104"/>
      <c r="R129" s="104"/>
      <c r="S129" s="147"/>
      <c r="T129" s="146"/>
      <c r="U129" s="542">
        <v>47</v>
      </c>
      <c r="V129" s="826"/>
      <c r="W129" s="827"/>
      <c r="Y129" s="104"/>
      <c r="Z129" s="104"/>
      <c r="AA129" s="104"/>
      <c r="AB129" s="104"/>
      <c r="AC129" s="104"/>
      <c r="AD129" s="104"/>
      <c r="AE129" s="104"/>
      <c r="AF129" s="104"/>
      <c r="AG129" s="104"/>
      <c r="AH129" s="104"/>
      <c r="AI129" s="104"/>
      <c r="AJ129" s="104"/>
      <c r="AK129" s="104"/>
      <c r="AL129" s="147"/>
      <c r="AM129" s="146"/>
      <c r="AN129" s="542">
        <v>47</v>
      </c>
      <c r="AO129" s="826"/>
      <c r="AP129" s="827"/>
      <c r="AR129" s="104"/>
      <c r="AS129" s="104"/>
      <c r="AT129" s="104"/>
      <c r="AU129" s="104"/>
      <c r="AV129" s="104"/>
      <c r="AW129" s="104"/>
      <c r="AX129" s="104"/>
      <c r="AY129" s="104"/>
      <c r="AZ129" s="104"/>
      <c r="BA129" s="104"/>
      <c r="BB129" s="104"/>
      <c r="BC129" s="104"/>
      <c r="BD129" s="104"/>
      <c r="BE129" s="147"/>
      <c r="BF129" s="146"/>
      <c r="BG129" s="542">
        <v>47</v>
      </c>
      <c r="BH129" s="826"/>
      <c r="BI129" s="827"/>
      <c r="BK129" s="104"/>
      <c r="BL129" s="104"/>
      <c r="BM129" s="104"/>
      <c r="BN129" s="104"/>
      <c r="BO129" s="104"/>
      <c r="BP129" s="104"/>
      <c r="BQ129" s="104"/>
      <c r="BR129" s="104"/>
      <c r="BS129" s="104"/>
      <c r="BT129" s="104"/>
      <c r="BU129" s="104"/>
      <c r="BV129" s="104"/>
      <c r="BW129" s="104"/>
      <c r="BX129" s="147"/>
      <c r="BY129" s="146"/>
      <c r="BZ129" s="542">
        <v>47</v>
      </c>
      <c r="CA129" s="826"/>
      <c r="CB129" s="827"/>
      <c r="CD129" s="104"/>
      <c r="CE129" s="104"/>
      <c r="CF129" s="104"/>
      <c r="CG129" s="104"/>
      <c r="CH129" s="104"/>
      <c r="CI129" s="104"/>
      <c r="CJ129" s="104"/>
      <c r="CK129" s="104"/>
      <c r="CL129" s="104"/>
      <c r="CM129" s="104"/>
      <c r="CN129" s="104"/>
      <c r="CO129" s="104"/>
      <c r="CP129" s="104"/>
      <c r="CQ129" s="147"/>
    </row>
    <row r="130" spans="1:95">
      <c r="A130" s="146"/>
      <c r="B130" s="542">
        <v>48</v>
      </c>
      <c r="C130" s="826"/>
      <c r="D130" s="827"/>
      <c r="F130" s="104"/>
      <c r="G130" s="104"/>
      <c r="H130" s="104"/>
      <c r="I130" s="104"/>
      <c r="J130" s="104"/>
      <c r="K130" s="104"/>
      <c r="L130" s="104"/>
      <c r="M130" s="104"/>
      <c r="N130" s="104"/>
      <c r="O130" s="104"/>
      <c r="P130" s="104"/>
      <c r="Q130" s="104"/>
      <c r="R130" s="104"/>
      <c r="S130" s="147"/>
      <c r="T130" s="146"/>
      <c r="U130" s="542">
        <v>48</v>
      </c>
      <c r="V130" s="826"/>
      <c r="W130" s="827"/>
      <c r="Y130" s="104"/>
      <c r="Z130" s="104"/>
      <c r="AA130" s="104"/>
      <c r="AB130" s="104"/>
      <c r="AC130" s="104"/>
      <c r="AD130" s="104"/>
      <c r="AE130" s="104"/>
      <c r="AF130" s="104"/>
      <c r="AG130" s="104"/>
      <c r="AH130" s="104"/>
      <c r="AI130" s="104"/>
      <c r="AJ130" s="104"/>
      <c r="AK130" s="104"/>
      <c r="AL130" s="147"/>
      <c r="AM130" s="146"/>
      <c r="AN130" s="542">
        <v>48</v>
      </c>
      <c r="AO130" s="826"/>
      <c r="AP130" s="827"/>
      <c r="AR130" s="104"/>
      <c r="AS130" s="104"/>
      <c r="AT130" s="104"/>
      <c r="AU130" s="104"/>
      <c r="AV130" s="104"/>
      <c r="AW130" s="104"/>
      <c r="AX130" s="104"/>
      <c r="AY130" s="104"/>
      <c r="AZ130" s="104"/>
      <c r="BA130" s="104"/>
      <c r="BB130" s="104"/>
      <c r="BC130" s="104"/>
      <c r="BD130" s="104"/>
      <c r="BE130" s="147"/>
      <c r="BF130" s="146"/>
      <c r="BG130" s="542">
        <v>48</v>
      </c>
      <c r="BH130" s="826"/>
      <c r="BI130" s="827"/>
      <c r="BK130" s="104"/>
      <c r="BL130" s="104"/>
      <c r="BM130" s="104"/>
      <c r="BN130" s="104"/>
      <c r="BO130" s="104"/>
      <c r="BP130" s="104"/>
      <c r="BQ130" s="104"/>
      <c r="BR130" s="104"/>
      <c r="BS130" s="104"/>
      <c r="BT130" s="104"/>
      <c r="BU130" s="104"/>
      <c r="BV130" s="104"/>
      <c r="BW130" s="104"/>
      <c r="BX130" s="147"/>
      <c r="BY130" s="146"/>
      <c r="BZ130" s="542">
        <v>48</v>
      </c>
      <c r="CA130" s="826"/>
      <c r="CB130" s="827"/>
      <c r="CD130" s="104"/>
      <c r="CE130" s="104"/>
      <c r="CF130" s="104"/>
      <c r="CG130" s="104"/>
      <c r="CH130" s="104"/>
      <c r="CI130" s="104"/>
      <c r="CJ130" s="104"/>
      <c r="CK130" s="104"/>
      <c r="CL130" s="104"/>
      <c r="CM130" s="104"/>
      <c r="CN130" s="104"/>
      <c r="CO130" s="104"/>
      <c r="CP130" s="104"/>
      <c r="CQ130" s="147"/>
    </row>
    <row r="131" spans="1:95">
      <c r="A131" s="146"/>
      <c r="B131" s="542">
        <v>49</v>
      </c>
      <c r="C131" s="826"/>
      <c r="D131" s="827"/>
      <c r="F131" s="104"/>
      <c r="G131" s="104"/>
      <c r="H131" s="104"/>
      <c r="I131" s="104"/>
      <c r="J131" s="104"/>
      <c r="K131" s="104"/>
      <c r="L131" s="104"/>
      <c r="M131" s="104"/>
      <c r="N131" s="104"/>
      <c r="O131" s="104"/>
      <c r="P131" s="104"/>
      <c r="Q131" s="104"/>
      <c r="R131" s="104"/>
      <c r="S131" s="147"/>
      <c r="T131" s="146"/>
      <c r="U131" s="542">
        <v>49</v>
      </c>
      <c r="V131" s="826"/>
      <c r="W131" s="827"/>
      <c r="Y131" s="104"/>
      <c r="Z131" s="104"/>
      <c r="AA131" s="104"/>
      <c r="AB131" s="104"/>
      <c r="AC131" s="104"/>
      <c r="AD131" s="104"/>
      <c r="AE131" s="104"/>
      <c r="AF131" s="104"/>
      <c r="AG131" s="104"/>
      <c r="AH131" s="104"/>
      <c r="AI131" s="104"/>
      <c r="AJ131" s="104"/>
      <c r="AK131" s="104"/>
      <c r="AL131" s="147"/>
      <c r="AM131" s="146"/>
      <c r="AN131" s="542">
        <v>49</v>
      </c>
      <c r="AO131" s="826"/>
      <c r="AP131" s="827"/>
      <c r="AR131" s="104"/>
      <c r="AS131" s="104"/>
      <c r="AT131" s="104"/>
      <c r="AU131" s="104"/>
      <c r="AV131" s="104"/>
      <c r="AW131" s="104"/>
      <c r="AX131" s="104"/>
      <c r="AY131" s="104"/>
      <c r="AZ131" s="104"/>
      <c r="BA131" s="104"/>
      <c r="BB131" s="104"/>
      <c r="BC131" s="104"/>
      <c r="BD131" s="104"/>
      <c r="BE131" s="147"/>
      <c r="BF131" s="146"/>
      <c r="BG131" s="542">
        <v>49</v>
      </c>
      <c r="BH131" s="826"/>
      <c r="BI131" s="827"/>
      <c r="BK131" s="104"/>
      <c r="BL131" s="104"/>
      <c r="BM131" s="104"/>
      <c r="BN131" s="104"/>
      <c r="BO131" s="104"/>
      <c r="BP131" s="104"/>
      <c r="BQ131" s="104"/>
      <c r="BR131" s="104"/>
      <c r="BS131" s="104"/>
      <c r="BT131" s="104"/>
      <c r="BU131" s="104"/>
      <c r="BV131" s="104"/>
      <c r="BW131" s="104"/>
      <c r="BX131" s="147"/>
      <c r="BY131" s="146"/>
      <c r="BZ131" s="542">
        <v>49</v>
      </c>
      <c r="CA131" s="826"/>
      <c r="CB131" s="827"/>
      <c r="CD131" s="104"/>
      <c r="CE131" s="104"/>
      <c r="CF131" s="104"/>
      <c r="CG131" s="104"/>
      <c r="CH131" s="104"/>
      <c r="CI131" s="104"/>
      <c r="CJ131" s="104"/>
      <c r="CK131" s="104"/>
      <c r="CL131" s="104"/>
      <c r="CM131" s="104"/>
      <c r="CN131" s="104"/>
      <c r="CO131" s="104"/>
      <c r="CP131" s="104"/>
      <c r="CQ131" s="147"/>
    </row>
    <row r="132" spans="1:95">
      <c r="A132" s="146"/>
      <c r="B132" s="542">
        <v>50</v>
      </c>
      <c r="C132" s="826"/>
      <c r="D132" s="827"/>
      <c r="F132" s="104"/>
      <c r="G132" s="104"/>
      <c r="H132" s="104"/>
      <c r="I132" s="104"/>
      <c r="J132" s="104"/>
      <c r="K132" s="104"/>
      <c r="L132" s="104"/>
      <c r="M132" s="104"/>
      <c r="N132" s="104"/>
      <c r="O132" s="104"/>
      <c r="P132" s="104"/>
      <c r="Q132" s="104"/>
      <c r="R132" s="104"/>
      <c r="S132" s="147"/>
      <c r="T132" s="146"/>
      <c r="U132" s="542">
        <v>50</v>
      </c>
      <c r="V132" s="826"/>
      <c r="W132" s="827"/>
      <c r="Y132" s="104"/>
      <c r="Z132" s="104"/>
      <c r="AA132" s="104"/>
      <c r="AB132" s="104"/>
      <c r="AC132" s="104"/>
      <c r="AD132" s="104"/>
      <c r="AE132" s="104"/>
      <c r="AF132" s="104"/>
      <c r="AG132" s="104"/>
      <c r="AH132" s="104"/>
      <c r="AI132" s="104"/>
      <c r="AJ132" s="104"/>
      <c r="AK132" s="104"/>
      <c r="AL132" s="147"/>
      <c r="AM132" s="146"/>
      <c r="AN132" s="542">
        <v>50</v>
      </c>
      <c r="AO132" s="826"/>
      <c r="AP132" s="827"/>
      <c r="AR132" s="104"/>
      <c r="AS132" s="104"/>
      <c r="AT132" s="104"/>
      <c r="AU132" s="104"/>
      <c r="AV132" s="104"/>
      <c r="AW132" s="104"/>
      <c r="AX132" s="104"/>
      <c r="AY132" s="104"/>
      <c r="AZ132" s="104"/>
      <c r="BA132" s="104"/>
      <c r="BB132" s="104"/>
      <c r="BC132" s="104"/>
      <c r="BD132" s="104"/>
      <c r="BE132" s="147"/>
      <c r="BF132" s="146"/>
      <c r="BG132" s="542">
        <v>50</v>
      </c>
      <c r="BH132" s="826"/>
      <c r="BI132" s="827"/>
      <c r="BK132" s="104"/>
      <c r="BL132" s="104"/>
      <c r="BM132" s="104"/>
      <c r="BN132" s="104"/>
      <c r="BO132" s="104"/>
      <c r="BP132" s="104"/>
      <c r="BQ132" s="104"/>
      <c r="BR132" s="104"/>
      <c r="BS132" s="104"/>
      <c r="BT132" s="104"/>
      <c r="BU132" s="104"/>
      <c r="BV132" s="104"/>
      <c r="BW132" s="104"/>
      <c r="BX132" s="147"/>
      <c r="BY132" s="146"/>
      <c r="BZ132" s="542">
        <v>50</v>
      </c>
      <c r="CA132" s="826"/>
      <c r="CB132" s="827"/>
      <c r="CD132" s="104"/>
      <c r="CE132" s="104"/>
      <c r="CF132" s="104"/>
      <c r="CG132" s="104"/>
      <c r="CH132" s="104"/>
      <c r="CI132" s="104"/>
      <c r="CJ132" s="104"/>
      <c r="CK132" s="104"/>
      <c r="CL132" s="104"/>
      <c r="CM132" s="104"/>
      <c r="CN132" s="104"/>
      <c r="CO132" s="104"/>
      <c r="CP132" s="104"/>
      <c r="CQ132" s="147"/>
    </row>
    <row r="133" spans="1:95">
      <c r="A133" s="146"/>
      <c r="B133" s="542">
        <v>51</v>
      </c>
      <c r="C133" s="826"/>
      <c r="D133" s="827"/>
      <c r="F133" s="104"/>
      <c r="G133" s="104"/>
      <c r="H133" s="104"/>
      <c r="I133" s="104"/>
      <c r="J133" s="104"/>
      <c r="K133" s="104"/>
      <c r="L133" s="104"/>
      <c r="M133" s="104"/>
      <c r="N133" s="104"/>
      <c r="O133" s="104"/>
      <c r="P133" s="104"/>
      <c r="Q133" s="104"/>
      <c r="R133" s="104"/>
      <c r="S133" s="147"/>
      <c r="T133" s="146"/>
      <c r="U133" s="542">
        <v>51</v>
      </c>
      <c r="V133" s="826"/>
      <c r="W133" s="827"/>
      <c r="Y133" s="104"/>
      <c r="Z133" s="104"/>
      <c r="AA133" s="104"/>
      <c r="AB133" s="104"/>
      <c r="AC133" s="104"/>
      <c r="AD133" s="104"/>
      <c r="AE133" s="104"/>
      <c r="AF133" s="104"/>
      <c r="AG133" s="104"/>
      <c r="AH133" s="104"/>
      <c r="AI133" s="104"/>
      <c r="AJ133" s="104"/>
      <c r="AK133" s="104"/>
      <c r="AL133" s="147"/>
      <c r="AM133" s="146"/>
      <c r="AN133" s="542">
        <v>51</v>
      </c>
      <c r="AO133" s="826"/>
      <c r="AP133" s="827"/>
      <c r="AR133" s="104"/>
      <c r="AS133" s="104"/>
      <c r="AT133" s="104"/>
      <c r="AU133" s="104"/>
      <c r="AV133" s="104"/>
      <c r="AW133" s="104"/>
      <c r="AX133" s="104"/>
      <c r="AY133" s="104"/>
      <c r="AZ133" s="104"/>
      <c r="BA133" s="104"/>
      <c r="BB133" s="104"/>
      <c r="BC133" s="104"/>
      <c r="BD133" s="104"/>
      <c r="BE133" s="147"/>
      <c r="BF133" s="146"/>
      <c r="BG133" s="542">
        <v>51</v>
      </c>
      <c r="BH133" s="826"/>
      <c r="BI133" s="827"/>
      <c r="BK133" s="104"/>
      <c r="BL133" s="104"/>
      <c r="BM133" s="104"/>
      <c r="BN133" s="104"/>
      <c r="BO133" s="104"/>
      <c r="BP133" s="104"/>
      <c r="BQ133" s="104"/>
      <c r="BR133" s="104"/>
      <c r="BS133" s="104"/>
      <c r="BT133" s="104"/>
      <c r="BU133" s="104"/>
      <c r="BV133" s="104"/>
      <c r="BW133" s="104"/>
      <c r="BX133" s="147"/>
      <c r="BY133" s="146"/>
      <c r="BZ133" s="542">
        <v>51</v>
      </c>
      <c r="CA133" s="826"/>
      <c r="CB133" s="827"/>
      <c r="CD133" s="104"/>
      <c r="CE133" s="104"/>
      <c r="CF133" s="104"/>
      <c r="CG133" s="104"/>
      <c r="CH133" s="104"/>
      <c r="CI133" s="104"/>
      <c r="CJ133" s="104"/>
      <c r="CK133" s="104"/>
      <c r="CL133" s="104"/>
      <c r="CM133" s="104"/>
      <c r="CN133" s="104"/>
      <c r="CO133" s="104"/>
      <c r="CP133" s="104"/>
      <c r="CQ133" s="147"/>
    </row>
    <row r="134" spans="1:95">
      <c r="A134" s="146"/>
      <c r="B134" s="542">
        <v>52</v>
      </c>
      <c r="C134" s="826"/>
      <c r="D134" s="827"/>
      <c r="F134" s="104"/>
      <c r="G134" s="104"/>
      <c r="H134" s="104"/>
      <c r="I134" s="104"/>
      <c r="J134" s="104"/>
      <c r="K134" s="104"/>
      <c r="L134" s="104"/>
      <c r="M134" s="104"/>
      <c r="N134" s="104"/>
      <c r="O134" s="104"/>
      <c r="P134" s="104"/>
      <c r="Q134" s="104"/>
      <c r="R134" s="104"/>
      <c r="S134" s="147"/>
      <c r="T134" s="146"/>
      <c r="U134" s="542">
        <v>52</v>
      </c>
      <c r="V134" s="826"/>
      <c r="W134" s="827"/>
      <c r="Y134" s="104"/>
      <c r="Z134" s="104"/>
      <c r="AA134" s="104"/>
      <c r="AB134" s="104"/>
      <c r="AC134" s="104"/>
      <c r="AD134" s="104"/>
      <c r="AE134" s="104"/>
      <c r="AF134" s="104"/>
      <c r="AG134" s="104"/>
      <c r="AH134" s="104"/>
      <c r="AI134" s="104"/>
      <c r="AJ134" s="104"/>
      <c r="AK134" s="104"/>
      <c r="AL134" s="147"/>
      <c r="AM134" s="146"/>
      <c r="AN134" s="542">
        <v>52</v>
      </c>
      <c r="AO134" s="826"/>
      <c r="AP134" s="827"/>
      <c r="AR134" s="104"/>
      <c r="AS134" s="104"/>
      <c r="AT134" s="104"/>
      <c r="AU134" s="104"/>
      <c r="AV134" s="104"/>
      <c r="AW134" s="104"/>
      <c r="AX134" s="104"/>
      <c r="AY134" s="104"/>
      <c r="AZ134" s="104"/>
      <c r="BA134" s="104"/>
      <c r="BB134" s="104"/>
      <c r="BC134" s="104"/>
      <c r="BD134" s="104"/>
      <c r="BE134" s="147"/>
      <c r="BF134" s="146"/>
      <c r="BG134" s="542">
        <v>52</v>
      </c>
      <c r="BH134" s="826"/>
      <c r="BI134" s="827"/>
      <c r="BK134" s="104"/>
      <c r="BL134" s="104"/>
      <c r="BM134" s="104"/>
      <c r="BN134" s="104"/>
      <c r="BO134" s="104"/>
      <c r="BP134" s="104"/>
      <c r="BQ134" s="104"/>
      <c r="BR134" s="104"/>
      <c r="BS134" s="104"/>
      <c r="BT134" s="104"/>
      <c r="BU134" s="104"/>
      <c r="BV134" s="104"/>
      <c r="BW134" s="104"/>
      <c r="BX134" s="147"/>
      <c r="BY134" s="146"/>
      <c r="BZ134" s="542">
        <v>52</v>
      </c>
      <c r="CA134" s="826"/>
      <c r="CB134" s="827"/>
      <c r="CD134" s="104"/>
      <c r="CE134" s="104"/>
      <c r="CF134" s="104"/>
      <c r="CG134" s="104"/>
      <c r="CH134" s="104"/>
      <c r="CI134" s="104"/>
      <c r="CJ134" s="104"/>
      <c r="CK134" s="104"/>
      <c r="CL134" s="104"/>
      <c r="CM134" s="104"/>
      <c r="CN134" s="104"/>
      <c r="CO134" s="104"/>
      <c r="CP134" s="104"/>
      <c r="CQ134" s="147"/>
    </row>
    <row r="135" spans="1:95">
      <c r="A135" s="146"/>
      <c r="B135" s="542">
        <v>53</v>
      </c>
      <c r="C135" s="826"/>
      <c r="D135" s="827"/>
      <c r="F135" s="104"/>
      <c r="G135" s="104"/>
      <c r="H135" s="104"/>
      <c r="I135" s="104"/>
      <c r="J135" s="104"/>
      <c r="K135" s="104"/>
      <c r="L135" s="104"/>
      <c r="M135" s="104"/>
      <c r="N135" s="104"/>
      <c r="O135" s="104"/>
      <c r="P135" s="104"/>
      <c r="Q135" s="104"/>
      <c r="R135" s="104"/>
      <c r="S135" s="147"/>
      <c r="T135" s="146"/>
      <c r="U135" s="542">
        <v>53</v>
      </c>
      <c r="V135" s="826"/>
      <c r="W135" s="827"/>
      <c r="Y135" s="104"/>
      <c r="Z135" s="104"/>
      <c r="AA135" s="104"/>
      <c r="AB135" s="104"/>
      <c r="AC135" s="104"/>
      <c r="AD135" s="104"/>
      <c r="AE135" s="104"/>
      <c r="AF135" s="104"/>
      <c r="AG135" s="104"/>
      <c r="AH135" s="104"/>
      <c r="AI135" s="104"/>
      <c r="AJ135" s="104"/>
      <c r="AK135" s="104"/>
      <c r="AL135" s="147"/>
      <c r="AM135" s="146"/>
      <c r="AN135" s="542">
        <v>53</v>
      </c>
      <c r="AO135" s="826"/>
      <c r="AP135" s="827"/>
      <c r="AR135" s="104"/>
      <c r="AS135" s="104"/>
      <c r="AT135" s="104"/>
      <c r="AU135" s="104"/>
      <c r="AV135" s="104"/>
      <c r="AW135" s="104"/>
      <c r="AX135" s="104"/>
      <c r="AY135" s="104"/>
      <c r="AZ135" s="104"/>
      <c r="BA135" s="104"/>
      <c r="BB135" s="104"/>
      <c r="BC135" s="104"/>
      <c r="BD135" s="104"/>
      <c r="BE135" s="147"/>
      <c r="BF135" s="146"/>
      <c r="BG135" s="542">
        <v>53</v>
      </c>
      <c r="BH135" s="826"/>
      <c r="BI135" s="827"/>
      <c r="BK135" s="104"/>
      <c r="BL135" s="104"/>
      <c r="BM135" s="104"/>
      <c r="BN135" s="104"/>
      <c r="BO135" s="104"/>
      <c r="BP135" s="104"/>
      <c r="BQ135" s="104"/>
      <c r="BR135" s="104"/>
      <c r="BS135" s="104"/>
      <c r="BT135" s="104"/>
      <c r="BU135" s="104"/>
      <c r="BV135" s="104"/>
      <c r="BW135" s="104"/>
      <c r="BX135" s="147"/>
      <c r="BY135" s="146"/>
      <c r="BZ135" s="542">
        <v>53</v>
      </c>
      <c r="CA135" s="826"/>
      <c r="CB135" s="827"/>
      <c r="CD135" s="104"/>
      <c r="CE135" s="104"/>
      <c r="CF135" s="104"/>
      <c r="CG135" s="104"/>
      <c r="CH135" s="104"/>
      <c r="CI135" s="104"/>
      <c r="CJ135" s="104"/>
      <c r="CK135" s="104"/>
      <c r="CL135" s="104"/>
      <c r="CM135" s="104"/>
      <c r="CN135" s="104"/>
      <c r="CO135" s="104"/>
      <c r="CP135" s="104"/>
      <c r="CQ135" s="147"/>
    </row>
    <row r="136" spans="1:95">
      <c r="A136" s="146"/>
      <c r="B136" s="542">
        <v>54</v>
      </c>
      <c r="C136" s="826"/>
      <c r="D136" s="827"/>
      <c r="F136" s="104"/>
      <c r="G136" s="104"/>
      <c r="H136" s="104"/>
      <c r="I136" s="104"/>
      <c r="J136" s="104"/>
      <c r="K136" s="104"/>
      <c r="L136" s="104"/>
      <c r="M136" s="104"/>
      <c r="N136" s="104"/>
      <c r="O136" s="104"/>
      <c r="P136" s="104"/>
      <c r="Q136" s="104"/>
      <c r="R136" s="104"/>
      <c r="S136" s="147"/>
      <c r="T136" s="146"/>
      <c r="U136" s="542">
        <v>54</v>
      </c>
      <c r="V136" s="826"/>
      <c r="W136" s="827"/>
      <c r="Y136" s="104"/>
      <c r="Z136" s="104"/>
      <c r="AA136" s="104"/>
      <c r="AB136" s="104"/>
      <c r="AC136" s="104"/>
      <c r="AD136" s="104"/>
      <c r="AE136" s="104"/>
      <c r="AF136" s="104"/>
      <c r="AG136" s="104"/>
      <c r="AH136" s="104"/>
      <c r="AI136" s="104"/>
      <c r="AJ136" s="104"/>
      <c r="AK136" s="104"/>
      <c r="AL136" s="147"/>
      <c r="AM136" s="146"/>
      <c r="AN136" s="542">
        <v>54</v>
      </c>
      <c r="AO136" s="826"/>
      <c r="AP136" s="827"/>
      <c r="AR136" s="104"/>
      <c r="AS136" s="104"/>
      <c r="AT136" s="104"/>
      <c r="AU136" s="104"/>
      <c r="AV136" s="104"/>
      <c r="AW136" s="104"/>
      <c r="AX136" s="104"/>
      <c r="AY136" s="104"/>
      <c r="AZ136" s="104"/>
      <c r="BA136" s="104"/>
      <c r="BB136" s="104"/>
      <c r="BC136" s="104"/>
      <c r="BD136" s="104"/>
      <c r="BE136" s="147"/>
      <c r="BF136" s="146"/>
      <c r="BG136" s="542">
        <v>54</v>
      </c>
      <c r="BH136" s="826"/>
      <c r="BI136" s="827"/>
      <c r="BK136" s="104"/>
      <c r="BL136" s="104"/>
      <c r="BM136" s="104"/>
      <c r="BN136" s="104"/>
      <c r="BO136" s="104"/>
      <c r="BP136" s="104"/>
      <c r="BQ136" s="104"/>
      <c r="BR136" s="104"/>
      <c r="BS136" s="104"/>
      <c r="BT136" s="104"/>
      <c r="BU136" s="104"/>
      <c r="BV136" s="104"/>
      <c r="BW136" s="104"/>
      <c r="BX136" s="147"/>
      <c r="BY136" s="146"/>
      <c r="BZ136" s="542">
        <v>54</v>
      </c>
      <c r="CA136" s="826"/>
      <c r="CB136" s="827"/>
      <c r="CD136" s="104"/>
      <c r="CE136" s="104"/>
      <c r="CF136" s="104"/>
      <c r="CG136" s="104"/>
      <c r="CH136" s="104"/>
      <c r="CI136" s="104"/>
      <c r="CJ136" s="104"/>
      <c r="CK136" s="104"/>
      <c r="CL136" s="104"/>
      <c r="CM136" s="104"/>
      <c r="CN136" s="104"/>
      <c r="CO136" s="104"/>
      <c r="CP136" s="104"/>
      <c r="CQ136" s="147"/>
    </row>
    <row r="137" spans="1:95">
      <c r="A137" s="146"/>
      <c r="B137" s="542">
        <v>55</v>
      </c>
      <c r="C137" s="826"/>
      <c r="D137" s="827"/>
      <c r="F137" s="104"/>
      <c r="G137" s="104"/>
      <c r="H137" s="104"/>
      <c r="I137" s="104"/>
      <c r="J137" s="104"/>
      <c r="K137" s="104"/>
      <c r="L137" s="104"/>
      <c r="M137" s="104"/>
      <c r="N137" s="104"/>
      <c r="O137" s="104"/>
      <c r="P137" s="104"/>
      <c r="Q137" s="104"/>
      <c r="R137" s="104"/>
      <c r="S137" s="147"/>
      <c r="T137" s="146"/>
      <c r="U137" s="542">
        <v>55</v>
      </c>
      <c r="V137" s="826"/>
      <c r="W137" s="827"/>
      <c r="Y137" s="104"/>
      <c r="Z137" s="104"/>
      <c r="AA137" s="104"/>
      <c r="AB137" s="104"/>
      <c r="AC137" s="104"/>
      <c r="AD137" s="104"/>
      <c r="AE137" s="104"/>
      <c r="AF137" s="104"/>
      <c r="AG137" s="104"/>
      <c r="AH137" s="104"/>
      <c r="AI137" s="104"/>
      <c r="AJ137" s="104"/>
      <c r="AK137" s="104"/>
      <c r="AL137" s="147"/>
      <c r="AM137" s="146"/>
      <c r="AN137" s="542">
        <v>55</v>
      </c>
      <c r="AO137" s="826"/>
      <c r="AP137" s="827"/>
      <c r="AR137" s="104"/>
      <c r="AS137" s="104"/>
      <c r="AT137" s="104"/>
      <c r="AU137" s="104"/>
      <c r="AV137" s="104"/>
      <c r="AW137" s="104"/>
      <c r="AX137" s="104"/>
      <c r="AY137" s="104"/>
      <c r="AZ137" s="104"/>
      <c r="BA137" s="104"/>
      <c r="BB137" s="104"/>
      <c r="BC137" s="104"/>
      <c r="BD137" s="104"/>
      <c r="BE137" s="147"/>
      <c r="BF137" s="146"/>
      <c r="BG137" s="542">
        <v>55</v>
      </c>
      <c r="BH137" s="826"/>
      <c r="BI137" s="827"/>
      <c r="BK137" s="104"/>
      <c r="BL137" s="104"/>
      <c r="BM137" s="104"/>
      <c r="BN137" s="104"/>
      <c r="BO137" s="104"/>
      <c r="BP137" s="104"/>
      <c r="BQ137" s="104"/>
      <c r="BR137" s="104"/>
      <c r="BS137" s="104"/>
      <c r="BT137" s="104"/>
      <c r="BU137" s="104"/>
      <c r="BV137" s="104"/>
      <c r="BW137" s="104"/>
      <c r="BX137" s="147"/>
      <c r="BY137" s="146"/>
      <c r="BZ137" s="542">
        <v>55</v>
      </c>
      <c r="CA137" s="826"/>
      <c r="CB137" s="827"/>
      <c r="CD137" s="104"/>
      <c r="CE137" s="104"/>
      <c r="CF137" s="104"/>
      <c r="CG137" s="104"/>
      <c r="CH137" s="104"/>
      <c r="CI137" s="104"/>
      <c r="CJ137" s="104"/>
      <c r="CK137" s="104"/>
      <c r="CL137" s="104"/>
      <c r="CM137" s="104"/>
      <c r="CN137" s="104"/>
      <c r="CO137" s="104"/>
      <c r="CP137" s="104"/>
      <c r="CQ137" s="147"/>
    </row>
    <row r="138" spans="1:95">
      <c r="A138" s="146"/>
      <c r="B138" s="542">
        <v>56</v>
      </c>
      <c r="C138" s="826"/>
      <c r="D138" s="827"/>
      <c r="F138" s="104"/>
      <c r="G138" s="104"/>
      <c r="H138" s="104"/>
      <c r="I138" s="104"/>
      <c r="J138" s="104"/>
      <c r="K138" s="104"/>
      <c r="L138" s="104"/>
      <c r="M138" s="104"/>
      <c r="N138" s="104"/>
      <c r="O138" s="104"/>
      <c r="P138" s="104"/>
      <c r="Q138" s="104"/>
      <c r="R138" s="104"/>
      <c r="S138" s="147"/>
      <c r="T138" s="146"/>
      <c r="U138" s="542">
        <v>56</v>
      </c>
      <c r="V138" s="826"/>
      <c r="W138" s="827"/>
      <c r="Y138" s="104"/>
      <c r="Z138" s="104"/>
      <c r="AA138" s="104"/>
      <c r="AB138" s="104"/>
      <c r="AC138" s="104"/>
      <c r="AD138" s="104"/>
      <c r="AE138" s="104"/>
      <c r="AF138" s="104"/>
      <c r="AG138" s="104"/>
      <c r="AH138" s="104"/>
      <c r="AI138" s="104"/>
      <c r="AJ138" s="104"/>
      <c r="AK138" s="104"/>
      <c r="AL138" s="147"/>
      <c r="AM138" s="146"/>
      <c r="AN138" s="542">
        <v>56</v>
      </c>
      <c r="AO138" s="826"/>
      <c r="AP138" s="827"/>
      <c r="AR138" s="104"/>
      <c r="AS138" s="104"/>
      <c r="AT138" s="104"/>
      <c r="AU138" s="104"/>
      <c r="AV138" s="104"/>
      <c r="AW138" s="104"/>
      <c r="AX138" s="104"/>
      <c r="AY138" s="104"/>
      <c r="AZ138" s="104"/>
      <c r="BA138" s="104"/>
      <c r="BB138" s="104"/>
      <c r="BC138" s="104"/>
      <c r="BD138" s="104"/>
      <c r="BE138" s="147"/>
      <c r="BF138" s="146"/>
      <c r="BG138" s="542">
        <v>56</v>
      </c>
      <c r="BH138" s="826"/>
      <c r="BI138" s="827"/>
      <c r="BK138" s="104"/>
      <c r="BL138" s="104"/>
      <c r="BM138" s="104"/>
      <c r="BN138" s="104"/>
      <c r="BO138" s="104"/>
      <c r="BP138" s="104"/>
      <c r="BQ138" s="104"/>
      <c r="BR138" s="104"/>
      <c r="BS138" s="104"/>
      <c r="BT138" s="104"/>
      <c r="BU138" s="104"/>
      <c r="BV138" s="104"/>
      <c r="BW138" s="104"/>
      <c r="BX138" s="147"/>
      <c r="BY138" s="146"/>
      <c r="BZ138" s="542">
        <v>56</v>
      </c>
      <c r="CA138" s="826"/>
      <c r="CB138" s="827"/>
      <c r="CD138" s="104"/>
      <c r="CE138" s="104"/>
      <c r="CF138" s="104"/>
      <c r="CG138" s="104"/>
      <c r="CH138" s="104"/>
      <c r="CI138" s="104"/>
      <c r="CJ138" s="104"/>
      <c r="CK138" s="104"/>
      <c r="CL138" s="104"/>
      <c r="CM138" s="104"/>
      <c r="CN138" s="104"/>
      <c r="CO138" s="104"/>
      <c r="CP138" s="104"/>
      <c r="CQ138" s="147"/>
    </row>
    <row r="139" spans="1:95">
      <c r="A139" s="146"/>
      <c r="B139" s="542">
        <v>57</v>
      </c>
      <c r="C139" s="826"/>
      <c r="D139" s="827"/>
      <c r="F139" s="104"/>
      <c r="G139" s="104"/>
      <c r="H139" s="104"/>
      <c r="I139" s="104"/>
      <c r="J139" s="104"/>
      <c r="K139" s="104"/>
      <c r="L139" s="104"/>
      <c r="M139" s="104"/>
      <c r="N139" s="104"/>
      <c r="O139" s="104"/>
      <c r="P139" s="104"/>
      <c r="Q139" s="104"/>
      <c r="R139" s="104"/>
      <c r="S139" s="147"/>
      <c r="T139" s="146"/>
      <c r="U139" s="542">
        <v>57</v>
      </c>
      <c r="V139" s="826"/>
      <c r="W139" s="827"/>
      <c r="Y139" s="104"/>
      <c r="Z139" s="104"/>
      <c r="AA139" s="104"/>
      <c r="AB139" s="104"/>
      <c r="AC139" s="104"/>
      <c r="AD139" s="104"/>
      <c r="AE139" s="104"/>
      <c r="AF139" s="104"/>
      <c r="AG139" s="104"/>
      <c r="AH139" s="104"/>
      <c r="AI139" s="104"/>
      <c r="AJ139" s="104"/>
      <c r="AK139" s="104"/>
      <c r="AL139" s="147"/>
      <c r="AM139" s="146"/>
      <c r="AN139" s="542">
        <v>57</v>
      </c>
      <c r="AO139" s="826"/>
      <c r="AP139" s="827"/>
      <c r="AR139" s="104"/>
      <c r="AS139" s="104"/>
      <c r="AT139" s="104"/>
      <c r="AU139" s="104"/>
      <c r="AV139" s="104"/>
      <c r="AW139" s="104"/>
      <c r="AX139" s="104"/>
      <c r="AY139" s="104"/>
      <c r="AZ139" s="104"/>
      <c r="BA139" s="104"/>
      <c r="BB139" s="104"/>
      <c r="BC139" s="104"/>
      <c r="BD139" s="104"/>
      <c r="BE139" s="147"/>
      <c r="BF139" s="146"/>
      <c r="BG139" s="542">
        <v>57</v>
      </c>
      <c r="BH139" s="826"/>
      <c r="BI139" s="827"/>
      <c r="BK139" s="104"/>
      <c r="BL139" s="104"/>
      <c r="BM139" s="104"/>
      <c r="BN139" s="104"/>
      <c r="BO139" s="104"/>
      <c r="BP139" s="104"/>
      <c r="BQ139" s="104"/>
      <c r="BR139" s="104"/>
      <c r="BS139" s="104"/>
      <c r="BT139" s="104"/>
      <c r="BU139" s="104"/>
      <c r="BV139" s="104"/>
      <c r="BW139" s="104"/>
      <c r="BX139" s="147"/>
      <c r="BY139" s="146"/>
      <c r="BZ139" s="542">
        <v>57</v>
      </c>
      <c r="CA139" s="826"/>
      <c r="CB139" s="827"/>
      <c r="CD139" s="104"/>
      <c r="CE139" s="104"/>
      <c r="CF139" s="104"/>
      <c r="CG139" s="104"/>
      <c r="CH139" s="104"/>
      <c r="CI139" s="104"/>
      <c r="CJ139" s="104"/>
      <c r="CK139" s="104"/>
      <c r="CL139" s="104"/>
      <c r="CM139" s="104"/>
      <c r="CN139" s="104"/>
      <c r="CO139" s="104"/>
      <c r="CP139" s="104"/>
      <c r="CQ139" s="147"/>
    </row>
    <row r="140" spans="1:95">
      <c r="A140" s="146"/>
      <c r="B140" s="542">
        <v>58</v>
      </c>
      <c r="C140" s="826"/>
      <c r="D140" s="827"/>
      <c r="F140" s="104"/>
      <c r="G140" s="104"/>
      <c r="H140" s="104"/>
      <c r="I140" s="104"/>
      <c r="J140" s="104"/>
      <c r="K140" s="104"/>
      <c r="L140" s="104"/>
      <c r="M140" s="104"/>
      <c r="N140" s="104"/>
      <c r="O140" s="104"/>
      <c r="P140" s="104"/>
      <c r="Q140" s="104"/>
      <c r="R140" s="104"/>
      <c r="S140" s="147"/>
      <c r="T140" s="146"/>
      <c r="U140" s="542">
        <v>58</v>
      </c>
      <c r="V140" s="826"/>
      <c r="W140" s="827"/>
      <c r="Y140" s="104"/>
      <c r="Z140" s="104"/>
      <c r="AA140" s="104"/>
      <c r="AB140" s="104"/>
      <c r="AC140" s="104"/>
      <c r="AD140" s="104"/>
      <c r="AE140" s="104"/>
      <c r="AF140" s="104"/>
      <c r="AG140" s="104"/>
      <c r="AH140" s="104"/>
      <c r="AI140" s="104"/>
      <c r="AJ140" s="104"/>
      <c r="AK140" s="104"/>
      <c r="AL140" s="147"/>
      <c r="AM140" s="146"/>
      <c r="AN140" s="542">
        <v>58</v>
      </c>
      <c r="AO140" s="826"/>
      <c r="AP140" s="827"/>
      <c r="AR140" s="104"/>
      <c r="AS140" s="104"/>
      <c r="AT140" s="104"/>
      <c r="AU140" s="104"/>
      <c r="AV140" s="104"/>
      <c r="AW140" s="104"/>
      <c r="AX140" s="104"/>
      <c r="AY140" s="104"/>
      <c r="AZ140" s="104"/>
      <c r="BA140" s="104"/>
      <c r="BB140" s="104"/>
      <c r="BC140" s="104"/>
      <c r="BD140" s="104"/>
      <c r="BE140" s="147"/>
      <c r="BF140" s="146"/>
      <c r="BG140" s="542">
        <v>58</v>
      </c>
      <c r="BH140" s="826"/>
      <c r="BI140" s="827"/>
      <c r="BK140" s="104"/>
      <c r="BL140" s="104"/>
      <c r="BM140" s="104"/>
      <c r="BN140" s="104"/>
      <c r="BO140" s="104"/>
      <c r="BP140" s="104"/>
      <c r="BQ140" s="104"/>
      <c r="BR140" s="104"/>
      <c r="BS140" s="104"/>
      <c r="BT140" s="104"/>
      <c r="BU140" s="104"/>
      <c r="BV140" s="104"/>
      <c r="BW140" s="104"/>
      <c r="BX140" s="147"/>
      <c r="BY140" s="146"/>
      <c r="BZ140" s="542">
        <v>58</v>
      </c>
      <c r="CA140" s="826"/>
      <c r="CB140" s="827"/>
      <c r="CD140" s="104"/>
      <c r="CE140" s="104"/>
      <c r="CF140" s="104"/>
      <c r="CG140" s="104"/>
      <c r="CH140" s="104"/>
      <c r="CI140" s="104"/>
      <c r="CJ140" s="104"/>
      <c r="CK140" s="104"/>
      <c r="CL140" s="104"/>
      <c r="CM140" s="104"/>
      <c r="CN140" s="104"/>
      <c r="CO140" s="104"/>
      <c r="CP140" s="104"/>
      <c r="CQ140" s="147"/>
    </row>
    <row r="141" spans="1:95">
      <c r="A141" s="146"/>
      <c r="B141" s="542">
        <v>59</v>
      </c>
      <c r="C141" s="826"/>
      <c r="D141" s="827"/>
      <c r="F141" s="104"/>
      <c r="G141" s="104"/>
      <c r="H141" s="104"/>
      <c r="I141" s="104"/>
      <c r="J141" s="104"/>
      <c r="K141" s="104"/>
      <c r="L141" s="104"/>
      <c r="M141" s="104"/>
      <c r="N141" s="104"/>
      <c r="O141" s="104"/>
      <c r="P141" s="104"/>
      <c r="Q141" s="104"/>
      <c r="R141" s="104"/>
      <c r="S141" s="147"/>
      <c r="T141" s="146"/>
      <c r="U141" s="542">
        <v>59</v>
      </c>
      <c r="V141" s="826"/>
      <c r="W141" s="827"/>
      <c r="Y141" s="104"/>
      <c r="Z141" s="104"/>
      <c r="AA141" s="104"/>
      <c r="AB141" s="104"/>
      <c r="AC141" s="104"/>
      <c r="AD141" s="104"/>
      <c r="AE141" s="104"/>
      <c r="AF141" s="104"/>
      <c r="AG141" s="104"/>
      <c r="AH141" s="104"/>
      <c r="AI141" s="104"/>
      <c r="AJ141" s="104"/>
      <c r="AK141" s="104"/>
      <c r="AL141" s="147"/>
      <c r="AM141" s="146"/>
      <c r="AN141" s="542">
        <v>59</v>
      </c>
      <c r="AO141" s="826"/>
      <c r="AP141" s="827"/>
      <c r="AR141" s="104"/>
      <c r="AS141" s="104"/>
      <c r="AT141" s="104"/>
      <c r="AU141" s="104"/>
      <c r="AV141" s="104"/>
      <c r="AW141" s="104"/>
      <c r="AX141" s="104"/>
      <c r="AY141" s="104"/>
      <c r="AZ141" s="104"/>
      <c r="BA141" s="104"/>
      <c r="BB141" s="104"/>
      <c r="BC141" s="104"/>
      <c r="BD141" s="104"/>
      <c r="BE141" s="147"/>
      <c r="BF141" s="146"/>
      <c r="BG141" s="542">
        <v>59</v>
      </c>
      <c r="BH141" s="826"/>
      <c r="BI141" s="827"/>
      <c r="BK141" s="104"/>
      <c r="BL141" s="104"/>
      <c r="BM141" s="104"/>
      <c r="BN141" s="104"/>
      <c r="BO141" s="104"/>
      <c r="BP141" s="104"/>
      <c r="BQ141" s="104"/>
      <c r="BR141" s="104"/>
      <c r="BS141" s="104"/>
      <c r="BT141" s="104"/>
      <c r="BU141" s="104"/>
      <c r="BV141" s="104"/>
      <c r="BW141" s="104"/>
      <c r="BX141" s="147"/>
      <c r="BY141" s="146"/>
      <c r="BZ141" s="542">
        <v>59</v>
      </c>
      <c r="CA141" s="826"/>
      <c r="CB141" s="827"/>
      <c r="CD141" s="104"/>
      <c r="CE141" s="104"/>
      <c r="CF141" s="104"/>
      <c r="CG141" s="104"/>
      <c r="CH141" s="104"/>
      <c r="CI141" s="104"/>
      <c r="CJ141" s="104"/>
      <c r="CK141" s="104"/>
      <c r="CL141" s="104"/>
      <c r="CM141" s="104"/>
      <c r="CN141" s="104"/>
      <c r="CO141" s="104"/>
      <c r="CP141" s="104"/>
      <c r="CQ141" s="147"/>
    </row>
    <row r="142" spans="1:95">
      <c r="A142" s="146"/>
      <c r="B142" s="542">
        <v>60</v>
      </c>
      <c r="C142" s="826"/>
      <c r="D142" s="827"/>
      <c r="F142" s="104"/>
      <c r="G142" s="104"/>
      <c r="H142" s="104"/>
      <c r="I142" s="104"/>
      <c r="J142" s="104"/>
      <c r="K142" s="104"/>
      <c r="L142" s="104"/>
      <c r="M142" s="104"/>
      <c r="N142" s="104"/>
      <c r="O142" s="104"/>
      <c r="P142" s="104"/>
      <c r="Q142" s="104"/>
      <c r="R142" s="104"/>
      <c r="S142" s="147"/>
      <c r="T142" s="146"/>
      <c r="U142" s="542">
        <v>60</v>
      </c>
      <c r="V142" s="826"/>
      <c r="W142" s="827"/>
      <c r="Y142" s="104"/>
      <c r="Z142" s="104"/>
      <c r="AA142" s="104"/>
      <c r="AB142" s="104"/>
      <c r="AC142" s="104"/>
      <c r="AD142" s="104"/>
      <c r="AE142" s="104"/>
      <c r="AF142" s="104"/>
      <c r="AG142" s="104"/>
      <c r="AH142" s="104"/>
      <c r="AI142" s="104"/>
      <c r="AJ142" s="104"/>
      <c r="AK142" s="104"/>
      <c r="AL142" s="147"/>
      <c r="AM142" s="146"/>
      <c r="AN142" s="542">
        <v>60</v>
      </c>
      <c r="AO142" s="826"/>
      <c r="AP142" s="827"/>
      <c r="AR142" s="104"/>
      <c r="AS142" s="104"/>
      <c r="AT142" s="104"/>
      <c r="AU142" s="104"/>
      <c r="AV142" s="104"/>
      <c r="AW142" s="104"/>
      <c r="AX142" s="104"/>
      <c r="AY142" s="104"/>
      <c r="AZ142" s="104"/>
      <c r="BA142" s="104"/>
      <c r="BB142" s="104"/>
      <c r="BC142" s="104"/>
      <c r="BD142" s="104"/>
      <c r="BE142" s="147"/>
      <c r="BF142" s="146"/>
      <c r="BG142" s="542">
        <v>60</v>
      </c>
      <c r="BH142" s="826"/>
      <c r="BI142" s="827"/>
      <c r="BK142" s="104"/>
      <c r="BL142" s="104"/>
      <c r="BM142" s="104"/>
      <c r="BN142" s="104"/>
      <c r="BO142" s="104"/>
      <c r="BP142" s="104"/>
      <c r="BQ142" s="104"/>
      <c r="BR142" s="104"/>
      <c r="BS142" s="104"/>
      <c r="BT142" s="104"/>
      <c r="BU142" s="104"/>
      <c r="BV142" s="104"/>
      <c r="BW142" s="104"/>
      <c r="BX142" s="147"/>
      <c r="BY142" s="146"/>
      <c r="BZ142" s="542">
        <v>60</v>
      </c>
      <c r="CA142" s="826"/>
      <c r="CB142" s="827"/>
      <c r="CD142" s="104"/>
      <c r="CE142" s="104"/>
      <c r="CF142" s="104"/>
      <c r="CG142" s="104"/>
      <c r="CH142" s="104"/>
      <c r="CI142" s="104"/>
      <c r="CJ142" s="104"/>
      <c r="CK142" s="104"/>
      <c r="CL142" s="104"/>
      <c r="CM142" s="104"/>
      <c r="CN142" s="104"/>
      <c r="CO142" s="104"/>
      <c r="CP142" s="104"/>
      <c r="CQ142" s="147"/>
    </row>
    <row r="143" spans="1:95">
      <c r="A143" s="146"/>
      <c r="B143" s="542">
        <v>61</v>
      </c>
      <c r="C143" s="826"/>
      <c r="D143" s="827"/>
      <c r="F143" s="104"/>
      <c r="G143" s="104"/>
      <c r="H143" s="104"/>
      <c r="I143" s="104"/>
      <c r="J143" s="104"/>
      <c r="K143" s="104"/>
      <c r="L143" s="104"/>
      <c r="M143" s="104"/>
      <c r="N143" s="104"/>
      <c r="O143" s="104"/>
      <c r="P143" s="104"/>
      <c r="Q143" s="104"/>
      <c r="R143" s="104"/>
      <c r="S143" s="147"/>
      <c r="T143" s="146"/>
      <c r="U143" s="542">
        <v>61</v>
      </c>
      <c r="V143" s="826"/>
      <c r="W143" s="827"/>
      <c r="Y143" s="104"/>
      <c r="Z143" s="104"/>
      <c r="AA143" s="104"/>
      <c r="AB143" s="104"/>
      <c r="AC143" s="104"/>
      <c r="AD143" s="104"/>
      <c r="AE143" s="104"/>
      <c r="AF143" s="104"/>
      <c r="AG143" s="104"/>
      <c r="AH143" s="104"/>
      <c r="AI143" s="104"/>
      <c r="AJ143" s="104"/>
      <c r="AK143" s="104"/>
      <c r="AL143" s="147"/>
      <c r="AM143" s="146"/>
      <c r="AN143" s="542">
        <v>61</v>
      </c>
      <c r="AO143" s="826"/>
      <c r="AP143" s="827"/>
      <c r="AR143" s="104"/>
      <c r="AS143" s="104"/>
      <c r="AT143" s="104"/>
      <c r="AU143" s="104"/>
      <c r="AV143" s="104"/>
      <c r="AW143" s="104"/>
      <c r="AX143" s="104"/>
      <c r="AY143" s="104"/>
      <c r="AZ143" s="104"/>
      <c r="BA143" s="104"/>
      <c r="BB143" s="104"/>
      <c r="BC143" s="104"/>
      <c r="BD143" s="104"/>
      <c r="BE143" s="147"/>
      <c r="BF143" s="146"/>
      <c r="BG143" s="542">
        <v>61</v>
      </c>
      <c r="BH143" s="826"/>
      <c r="BI143" s="827"/>
      <c r="BK143" s="104"/>
      <c r="BL143" s="104"/>
      <c r="BM143" s="104"/>
      <c r="BN143" s="104"/>
      <c r="BO143" s="104"/>
      <c r="BP143" s="104"/>
      <c r="BQ143" s="104"/>
      <c r="BR143" s="104"/>
      <c r="BS143" s="104"/>
      <c r="BT143" s="104"/>
      <c r="BU143" s="104"/>
      <c r="BV143" s="104"/>
      <c r="BW143" s="104"/>
      <c r="BX143" s="147"/>
      <c r="BY143" s="146"/>
      <c r="BZ143" s="542">
        <v>61</v>
      </c>
      <c r="CA143" s="826"/>
      <c r="CB143" s="827"/>
      <c r="CD143" s="104"/>
      <c r="CE143" s="104"/>
      <c r="CF143" s="104"/>
      <c r="CG143" s="104"/>
      <c r="CH143" s="104"/>
      <c r="CI143" s="104"/>
      <c r="CJ143" s="104"/>
      <c r="CK143" s="104"/>
      <c r="CL143" s="104"/>
      <c r="CM143" s="104"/>
      <c r="CN143" s="104"/>
      <c r="CO143" s="104"/>
      <c r="CP143" s="104"/>
      <c r="CQ143" s="147"/>
    </row>
    <row r="144" spans="1:95">
      <c r="A144" s="146"/>
      <c r="B144" s="542">
        <v>62</v>
      </c>
      <c r="C144" s="826"/>
      <c r="D144" s="827"/>
      <c r="F144" s="104"/>
      <c r="G144" s="104"/>
      <c r="H144" s="104"/>
      <c r="I144" s="104"/>
      <c r="J144" s="104"/>
      <c r="K144" s="104"/>
      <c r="L144" s="104"/>
      <c r="M144" s="104"/>
      <c r="N144" s="104"/>
      <c r="O144" s="104"/>
      <c r="P144" s="104"/>
      <c r="Q144" s="104"/>
      <c r="R144" s="104"/>
      <c r="S144" s="147"/>
      <c r="T144" s="146"/>
      <c r="U144" s="542">
        <v>62</v>
      </c>
      <c r="V144" s="826"/>
      <c r="W144" s="827"/>
      <c r="Y144" s="104"/>
      <c r="Z144" s="104"/>
      <c r="AA144" s="104"/>
      <c r="AB144" s="104"/>
      <c r="AC144" s="104"/>
      <c r="AD144" s="104"/>
      <c r="AE144" s="104"/>
      <c r="AF144" s="104"/>
      <c r="AG144" s="104"/>
      <c r="AH144" s="104"/>
      <c r="AI144" s="104"/>
      <c r="AJ144" s="104"/>
      <c r="AK144" s="104"/>
      <c r="AL144" s="147"/>
      <c r="AM144" s="146"/>
      <c r="AN144" s="542">
        <v>62</v>
      </c>
      <c r="AO144" s="826"/>
      <c r="AP144" s="827"/>
      <c r="AR144" s="104"/>
      <c r="AS144" s="104"/>
      <c r="AT144" s="104"/>
      <c r="AU144" s="104"/>
      <c r="AV144" s="104"/>
      <c r="AW144" s="104"/>
      <c r="AX144" s="104"/>
      <c r="AY144" s="104"/>
      <c r="AZ144" s="104"/>
      <c r="BA144" s="104"/>
      <c r="BB144" s="104"/>
      <c r="BC144" s="104"/>
      <c r="BD144" s="104"/>
      <c r="BE144" s="147"/>
      <c r="BF144" s="146"/>
      <c r="BG144" s="542">
        <v>62</v>
      </c>
      <c r="BH144" s="826"/>
      <c r="BI144" s="827"/>
      <c r="BK144" s="104"/>
      <c r="BL144" s="104"/>
      <c r="BM144" s="104"/>
      <c r="BN144" s="104"/>
      <c r="BO144" s="104"/>
      <c r="BP144" s="104"/>
      <c r="BQ144" s="104"/>
      <c r="BR144" s="104"/>
      <c r="BS144" s="104"/>
      <c r="BT144" s="104"/>
      <c r="BU144" s="104"/>
      <c r="BV144" s="104"/>
      <c r="BW144" s="104"/>
      <c r="BX144" s="147"/>
      <c r="BY144" s="146"/>
      <c r="BZ144" s="542">
        <v>62</v>
      </c>
      <c r="CA144" s="826"/>
      <c r="CB144" s="827"/>
      <c r="CD144" s="104"/>
      <c r="CE144" s="104"/>
      <c r="CF144" s="104"/>
      <c r="CG144" s="104"/>
      <c r="CH144" s="104"/>
      <c r="CI144" s="104"/>
      <c r="CJ144" s="104"/>
      <c r="CK144" s="104"/>
      <c r="CL144" s="104"/>
      <c r="CM144" s="104"/>
      <c r="CN144" s="104"/>
      <c r="CO144" s="104"/>
      <c r="CP144" s="104"/>
      <c r="CQ144" s="147"/>
    </row>
    <row r="145" spans="1:95">
      <c r="A145" s="146"/>
      <c r="B145" s="542">
        <v>63</v>
      </c>
      <c r="C145" s="826"/>
      <c r="D145" s="827"/>
      <c r="F145" s="104"/>
      <c r="G145" s="104"/>
      <c r="H145" s="104"/>
      <c r="I145" s="104"/>
      <c r="J145" s="104"/>
      <c r="K145" s="104"/>
      <c r="L145" s="104"/>
      <c r="M145" s="104"/>
      <c r="N145" s="104"/>
      <c r="O145" s="104"/>
      <c r="P145" s="104"/>
      <c r="Q145" s="104"/>
      <c r="R145" s="104"/>
      <c r="S145" s="147"/>
      <c r="T145" s="146"/>
      <c r="U145" s="542">
        <v>63</v>
      </c>
      <c r="V145" s="826"/>
      <c r="W145" s="827"/>
      <c r="Y145" s="104"/>
      <c r="Z145" s="104"/>
      <c r="AA145" s="104"/>
      <c r="AB145" s="104"/>
      <c r="AC145" s="104"/>
      <c r="AD145" s="104"/>
      <c r="AE145" s="104"/>
      <c r="AF145" s="104"/>
      <c r="AG145" s="104"/>
      <c r="AH145" s="104"/>
      <c r="AI145" s="104"/>
      <c r="AJ145" s="104"/>
      <c r="AK145" s="104"/>
      <c r="AL145" s="147"/>
      <c r="AM145" s="146"/>
      <c r="AN145" s="542">
        <v>63</v>
      </c>
      <c r="AO145" s="826"/>
      <c r="AP145" s="827"/>
      <c r="AR145" s="104"/>
      <c r="AS145" s="104"/>
      <c r="AT145" s="104"/>
      <c r="AU145" s="104"/>
      <c r="AV145" s="104"/>
      <c r="AW145" s="104"/>
      <c r="AX145" s="104"/>
      <c r="AY145" s="104"/>
      <c r="AZ145" s="104"/>
      <c r="BA145" s="104"/>
      <c r="BB145" s="104"/>
      <c r="BC145" s="104"/>
      <c r="BD145" s="104"/>
      <c r="BE145" s="147"/>
      <c r="BF145" s="146"/>
      <c r="BG145" s="542">
        <v>63</v>
      </c>
      <c r="BH145" s="826"/>
      <c r="BI145" s="827"/>
      <c r="BK145" s="104"/>
      <c r="BL145" s="104"/>
      <c r="BM145" s="104"/>
      <c r="BN145" s="104"/>
      <c r="BO145" s="104"/>
      <c r="BP145" s="104"/>
      <c r="BQ145" s="104"/>
      <c r="BR145" s="104"/>
      <c r="BS145" s="104"/>
      <c r="BT145" s="104"/>
      <c r="BU145" s="104"/>
      <c r="BV145" s="104"/>
      <c r="BW145" s="104"/>
      <c r="BX145" s="147"/>
      <c r="BY145" s="146"/>
      <c r="BZ145" s="542">
        <v>63</v>
      </c>
      <c r="CA145" s="826"/>
      <c r="CB145" s="827"/>
      <c r="CD145" s="104"/>
      <c r="CE145" s="104"/>
      <c r="CF145" s="104"/>
      <c r="CG145" s="104"/>
      <c r="CH145" s="104"/>
      <c r="CI145" s="104"/>
      <c r="CJ145" s="104"/>
      <c r="CK145" s="104"/>
      <c r="CL145" s="104"/>
      <c r="CM145" s="104"/>
      <c r="CN145" s="104"/>
      <c r="CO145" s="104"/>
      <c r="CP145" s="104"/>
      <c r="CQ145" s="147"/>
    </row>
    <row r="146" spans="1:95">
      <c r="A146" s="146"/>
      <c r="B146" s="542">
        <v>64</v>
      </c>
      <c r="C146" s="826"/>
      <c r="D146" s="827"/>
      <c r="F146" s="104"/>
      <c r="G146" s="104"/>
      <c r="H146" s="104"/>
      <c r="I146" s="104"/>
      <c r="J146" s="104"/>
      <c r="K146" s="104"/>
      <c r="L146" s="104"/>
      <c r="M146" s="104"/>
      <c r="N146" s="104"/>
      <c r="O146" s="104"/>
      <c r="P146" s="104"/>
      <c r="Q146" s="104"/>
      <c r="R146" s="104"/>
      <c r="S146" s="147"/>
      <c r="T146" s="146"/>
      <c r="U146" s="542">
        <v>64</v>
      </c>
      <c r="V146" s="826"/>
      <c r="W146" s="827"/>
      <c r="Y146" s="104"/>
      <c r="Z146" s="104"/>
      <c r="AA146" s="104"/>
      <c r="AB146" s="104"/>
      <c r="AC146" s="104"/>
      <c r="AD146" s="104"/>
      <c r="AE146" s="104"/>
      <c r="AF146" s="104"/>
      <c r="AG146" s="104"/>
      <c r="AH146" s="104"/>
      <c r="AI146" s="104"/>
      <c r="AJ146" s="104"/>
      <c r="AK146" s="104"/>
      <c r="AL146" s="147"/>
      <c r="AM146" s="146"/>
      <c r="AN146" s="542">
        <v>64</v>
      </c>
      <c r="AO146" s="826"/>
      <c r="AP146" s="827"/>
      <c r="AR146" s="104"/>
      <c r="AS146" s="104"/>
      <c r="AT146" s="104"/>
      <c r="AU146" s="104"/>
      <c r="AV146" s="104"/>
      <c r="AW146" s="104"/>
      <c r="AX146" s="104"/>
      <c r="AY146" s="104"/>
      <c r="AZ146" s="104"/>
      <c r="BA146" s="104"/>
      <c r="BB146" s="104"/>
      <c r="BC146" s="104"/>
      <c r="BD146" s="104"/>
      <c r="BE146" s="147"/>
      <c r="BF146" s="146"/>
      <c r="BG146" s="542">
        <v>64</v>
      </c>
      <c r="BH146" s="826"/>
      <c r="BI146" s="827"/>
      <c r="BK146" s="104"/>
      <c r="BL146" s="104"/>
      <c r="BM146" s="104"/>
      <c r="BN146" s="104"/>
      <c r="BO146" s="104"/>
      <c r="BP146" s="104"/>
      <c r="BQ146" s="104"/>
      <c r="BR146" s="104"/>
      <c r="BS146" s="104"/>
      <c r="BT146" s="104"/>
      <c r="BU146" s="104"/>
      <c r="BV146" s="104"/>
      <c r="BW146" s="104"/>
      <c r="BX146" s="147"/>
      <c r="BY146" s="146"/>
      <c r="BZ146" s="542">
        <v>64</v>
      </c>
      <c r="CA146" s="826"/>
      <c r="CB146" s="827"/>
      <c r="CD146" s="104"/>
      <c r="CE146" s="104"/>
      <c r="CF146" s="104"/>
      <c r="CG146" s="104"/>
      <c r="CH146" s="104"/>
      <c r="CI146" s="104"/>
      <c r="CJ146" s="104"/>
      <c r="CK146" s="104"/>
      <c r="CL146" s="104"/>
      <c r="CM146" s="104"/>
      <c r="CN146" s="104"/>
      <c r="CO146" s="104"/>
      <c r="CP146" s="104"/>
      <c r="CQ146" s="147"/>
    </row>
    <row r="147" spans="1:95">
      <c r="A147" s="146"/>
      <c r="B147" s="542">
        <v>65</v>
      </c>
      <c r="C147" s="826"/>
      <c r="D147" s="827"/>
      <c r="F147" s="104"/>
      <c r="G147" s="104"/>
      <c r="H147" s="104"/>
      <c r="I147" s="104"/>
      <c r="J147" s="104"/>
      <c r="K147" s="104"/>
      <c r="L147" s="104"/>
      <c r="M147" s="104"/>
      <c r="N147" s="104"/>
      <c r="O147" s="104"/>
      <c r="P147" s="104"/>
      <c r="Q147" s="104"/>
      <c r="R147" s="104"/>
      <c r="S147" s="147"/>
      <c r="T147" s="146"/>
      <c r="U147" s="542">
        <v>65</v>
      </c>
      <c r="V147" s="826"/>
      <c r="W147" s="827"/>
      <c r="Y147" s="104"/>
      <c r="Z147" s="104"/>
      <c r="AA147" s="104"/>
      <c r="AB147" s="104"/>
      <c r="AC147" s="104"/>
      <c r="AD147" s="104"/>
      <c r="AE147" s="104"/>
      <c r="AF147" s="104"/>
      <c r="AG147" s="104"/>
      <c r="AH147" s="104"/>
      <c r="AI147" s="104"/>
      <c r="AJ147" s="104"/>
      <c r="AK147" s="104"/>
      <c r="AL147" s="147"/>
      <c r="AM147" s="146"/>
      <c r="AN147" s="542">
        <v>65</v>
      </c>
      <c r="AO147" s="826"/>
      <c r="AP147" s="827"/>
      <c r="AR147" s="104"/>
      <c r="AS147" s="104"/>
      <c r="AT147" s="104"/>
      <c r="AU147" s="104"/>
      <c r="AV147" s="104"/>
      <c r="AW147" s="104"/>
      <c r="AX147" s="104"/>
      <c r="AY147" s="104"/>
      <c r="AZ147" s="104"/>
      <c r="BA147" s="104"/>
      <c r="BB147" s="104"/>
      <c r="BC147" s="104"/>
      <c r="BD147" s="104"/>
      <c r="BE147" s="147"/>
      <c r="BF147" s="146"/>
      <c r="BG147" s="542">
        <v>65</v>
      </c>
      <c r="BH147" s="826"/>
      <c r="BI147" s="827"/>
      <c r="BK147" s="104"/>
      <c r="BL147" s="104"/>
      <c r="BM147" s="104"/>
      <c r="BN147" s="104"/>
      <c r="BO147" s="104"/>
      <c r="BP147" s="104"/>
      <c r="BQ147" s="104"/>
      <c r="BR147" s="104"/>
      <c r="BS147" s="104"/>
      <c r="BT147" s="104"/>
      <c r="BU147" s="104"/>
      <c r="BV147" s="104"/>
      <c r="BW147" s="104"/>
      <c r="BX147" s="147"/>
      <c r="BY147" s="146"/>
      <c r="BZ147" s="542">
        <v>65</v>
      </c>
      <c r="CA147" s="826"/>
      <c r="CB147" s="827"/>
      <c r="CD147" s="104"/>
      <c r="CE147" s="104"/>
      <c r="CF147" s="104"/>
      <c r="CG147" s="104"/>
      <c r="CH147" s="104"/>
      <c r="CI147" s="104"/>
      <c r="CJ147" s="104"/>
      <c r="CK147" s="104"/>
      <c r="CL147" s="104"/>
      <c r="CM147" s="104"/>
      <c r="CN147" s="104"/>
      <c r="CO147" s="104"/>
      <c r="CP147" s="104"/>
      <c r="CQ147" s="147"/>
    </row>
    <row r="148" spans="1:95">
      <c r="A148" s="146"/>
      <c r="B148" s="542">
        <v>66</v>
      </c>
      <c r="C148" s="826"/>
      <c r="D148" s="827"/>
      <c r="F148" s="104"/>
      <c r="G148" s="104"/>
      <c r="H148" s="104"/>
      <c r="I148" s="104"/>
      <c r="J148" s="104"/>
      <c r="K148" s="104"/>
      <c r="L148" s="104"/>
      <c r="M148" s="104"/>
      <c r="N148" s="104"/>
      <c r="O148" s="104"/>
      <c r="P148" s="104"/>
      <c r="Q148" s="104"/>
      <c r="R148" s="104"/>
      <c r="S148" s="147"/>
      <c r="T148" s="146"/>
      <c r="U148" s="542">
        <v>66</v>
      </c>
      <c r="V148" s="826"/>
      <c r="W148" s="827"/>
      <c r="Y148" s="104"/>
      <c r="Z148" s="104"/>
      <c r="AA148" s="104"/>
      <c r="AB148" s="104"/>
      <c r="AC148" s="104"/>
      <c r="AD148" s="104"/>
      <c r="AE148" s="104"/>
      <c r="AF148" s="104"/>
      <c r="AG148" s="104"/>
      <c r="AH148" s="104"/>
      <c r="AI148" s="104"/>
      <c r="AJ148" s="104"/>
      <c r="AK148" s="104"/>
      <c r="AL148" s="147"/>
      <c r="AM148" s="146"/>
      <c r="AN148" s="542">
        <v>66</v>
      </c>
      <c r="AO148" s="826"/>
      <c r="AP148" s="827"/>
      <c r="AR148" s="104"/>
      <c r="AS148" s="104"/>
      <c r="AT148" s="104"/>
      <c r="AU148" s="104"/>
      <c r="AV148" s="104"/>
      <c r="AW148" s="104"/>
      <c r="AX148" s="104"/>
      <c r="AY148" s="104"/>
      <c r="AZ148" s="104"/>
      <c r="BA148" s="104"/>
      <c r="BB148" s="104"/>
      <c r="BC148" s="104"/>
      <c r="BD148" s="104"/>
      <c r="BE148" s="147"/>
      <c r="BF148" s="146"/>
      <c r="BG148" s="542">
        <v>66</v>
      </c>
      <c r="BH148" s="826"/>
      <c r="BI148" s="827"/>
      <c r="BK148" s="104"/>
      <c r="BL148" s="104"/>
      <c r="BM148" s="104"/>
      <c r="BN148" s="104"/>
      <c r="BO148" s="104"/>
      <c r="BP148" s="104"/>
      <c r="BQ148" s="104"/>
      <c r="BR148" s="104"/>
      <c r="BS148" s="104"/>
      <c r="BT148" s="104"/>
      <c r="BU148" s="104"/>
      <c r="BV148" s="104"/>
      <c r="BW148" s="104"/>
      <c r="BX148" s="147"/>
      <c r="BY148" s="146"/>
      <c r="BZ148" s="542">
        <v>66</v>
      </c>
      <c r="CA148" s="826"/>
      <c r="CB148" s="827"/>
      <c r="CD148" s="104"/>
      <c r="CE148" s="104"/>
      <c r="CF148" s="104"/>
      <c r="CG148" s="104"/>
      <c r="CH148" s="104"/>
      <c r="CI148" s="104"/>
      <c r="CJ148" s="104"/>
      <c r="CK148" s="104"/>
      <c r="CL148" s="104"/>
      <c r="CM148" s="104"/>
      <c r="CN148" s="104"/>
      <c r="CO148" s="104"/>
      <c r="CP148" s="104"/>
      <c r="CQ148" s="147"/>
    </row>
    <row r="149" spans="1:95">
      <c r="A149" s="146"/>
      <c r="B149" s="542">
        <v>67</v>
      </c>
      <c r="C149" s="826"/>
      <c r="D149" s="827"/>
      <c r="F149" s="104"/>
      <c r="G149" s="104"/>
      <c r="H149" s="104"/>
      <c r="I149" s="104"/>
      <c r="J149" s="104"/>
      <c r="K149" s="104"/>
      <c r="L149" s="104"/>
      <c r="M149" s="104"/>
      <c r="N149" s="104"/>
      <c r="O149" s="104"/>
      <c r="P149" s="104"/>
      <c r="Q149" s="104"/>
      <c r="R149" s="104"/>
      <c r="S149" s="147"/>
      <c r="T149" s="146"/>
      <c r="U149" s="542">
        <v>67</v>
      </c>
      <c r="V149" s="826"/>
      <c r="W149" s="827"/>
      <c r="Y149" s="104"/>
      <c r="Z149" s="104"/>
      <c r="AA149" s="104"/>
      <c r="AB149" s="104"/>
      <c r="AC149" s="104"/>
      <c r="AD149" s="104"/>
      <c r="AE149" s="104"/>
      <c r="AF149" s="104"/>
      <c r="AG149" s="104"/>
      <c r="AH149" s="104"/>
      <c r="AI149" s="104"/>
      <c r="AJ149" s="104"/>
      <c r="AK149" s="104"/>
      <c r="AL149" s="147"/>
      <c r="AM149" s="146"/>
      <c r="AN149" s="542">
        <v>67</v>
      </c>
      <c r="AO149" s="826"/>
      <c r="AP149" s="827"/>
      <c r="AR149" s="104"/>
      <c r="AS149" s="104"/>
      <c r="AT149" s="104"/>
      <c r="AU149" s="104"/>
      <c r="AV149" s="104"/>
      <c r="AW149" s="104"/>
      <c r="AX149" s="104"/>
      <c r="AY149" s="104"/>
      <c r="AZ149" s="104"/>
      <c r="BA149" s="104"/>
      <c r="BB149" s="104"/>
      <c r="BC149" s="104"/>
      <c r="BD149" s="104"/>
      <c r="BE149" s="147"/>
      <c r="BF149" s="146"/>
      <c r="BG149" s="542">
        <v>67</v>
      </c>
      <c r="BH149" s="826"/>
      <c r="BI149" s="827"/>
      <c r="BK149" s="104"/>
      <c r="BL149" s="104"/>
      <c r="BM149" s="104"/>
      <c r="BN149" s="104"/>
      <c r="BO149" s="104"/>
      <c r="BP149" s="104"/>
      <c r="BQ149" s="104"/>
      <c r="BR149" s="104"/>
      <c r="BS149" s="104"/>
      <c r="BT149" s="104"/>
      <c r="BU149" s="104"/>
      <c r="BV149" s="104"/>
      <c r="BW149" s="104"/>
      <c r="BX149" s="147"/>
      <c r="BY149" s="146"/>
      <c r="BZ149" s="542">
        <v>67</v>
      </c>
      <c r="CA149" s="826"/>
      <c r="CB149" s="827"/>
      <c r="CD149" s="104"/>
      <c r="CE149" s="104"/>
      <c r="CF149" s="104"/>
      <c r="CG149" s="104"/>
      <c r="CH149" s="104"/>
      <c r="CI149" s="104"/>
      <c r="CJ149" s="104"/>
      <c r="CK149" s="104"/>
      <c r="CL149" s="104"/>
      <c r="CM149" s="104"/>
      <c r="CN149" s="104"/>
      <c r="CO149" s="104"/>
      <c r="CP149" s="104"/>
      <c r="CQ149" s="147"/>
    </row>
    <row r="150" spans="1:95">
      <c r="A150" s="146"/>
      <c r="B150" s="542">
        <v>68</v>
      </c>
      <c r="C150" s="826"/>
      <c r="D150" s="827"/>
      <c r="F150" s="104"/>
      <c r="G150" s="104"/>
      <c r="H150" s="104"/>
      <c r="I150" s="104"/>
      <c r="J150" s="104"/>
      <c r="K150" s="104"/>
      <c r="L150" s="104"/>
      <c r="M150" s="104"/>
      <c r="N150" s="104"/>
      <c r="O150" s="104"/>
      <c r="P150" s="104"/>
      <c r="Q150" s="104"/>
      <c r="R150" s="104"/>
      <c r="S150" s="147"/>
      <c r="T150" s="146"/>
      <c r="U150" s="542">
        <v>68</v>
      </c>
      <c r="V150" s="826"/>
      <c r="W150" s="827"/>
      <c r="Y150" s="104"/>
      <c r="Z150" s="104"/>
      <c r="AA150" s="104"/>
      <c r="AB150" s="104"/>
      <c r="AC150" s="104"/>
      <c r="AD150" s="104"/>
      <c r="AE150" s="104"/>
      <c r="AF150" s="104"/>
      <c r="AG150" s="104"/>
      <c r="AH150" s="104"/>
      <c r="AI150" s="104"/>
      <c r="AJ150" s="104"/>
      <c r="AK150" s="104"/>
      <c r="AL150" s="147"/>
      <c r="AM150" s="146"/>
      <c r="AN150" s="542">
        <v>68</v>
      </c>
      <c r="AO150" s="826"/>
      <c r="AP150" s="827"/>
      <c r="AR150" s="104"/>
      <c r="AS150" s="104"/>
      <c r="AT150" s="104"/>
      <c r="AU150" s="104"/>
      <c r="AV150" s="104"/>
      <c r="AW150" s="104"/>
      <c r="AX150" s="104"/>
      <c r="AY150" s="104"/>
      <c r="AZ150" s="104"/>
      <c r="BA150" s="104"/>
      <c r="BB150" s="104"/>
      <c r="BC150" s="104"/>
      <c r="BD150" s="104"/>
      <c r="BE150" s="147"/>
      <c r="BF150" s="146"/>
      <c r="BG150" s="542">
        <v>68</v>
      </c>
      <c r="BH150" s="826"/>
      <c r="BI150" s="827"/>
      <c r="BK150" s="104"/>
      <c r="BL150" s="104"/>
      <c r="BM150" s="104"/>
      <c r="BN150" s="104"/>
      <c r="BO150" s="104"/>
      <c r="BP150" s="104"/>
      <c r="BQ150" s="104"/>
      <c r="BR150" s="104"/>
      <c r="BS150" s="104"/>
      <c r="BT150" s="104"/>
      <c r="BU150" s="104"/>
      <c r="BV150" s="104"/>
      <c r="BW150" s="104"/>
      <c r="BX150" s="147"/>
      <c r="BY150" s="146"/>
      <c r="BZ150" s="542">
        <v>68</v>
      </c>
      <c r="CA150" s="826"/>
      <c r="CB150" s="827"/>
      <c r="CD150" s="104"/>
      <c r="CE150" s="104"/>
      <c r="CF150" s="104"/>
      <c r="CG150" s="104"/>
      <c r="CH150" s="104"/>
      <c r="CI150" s="104"/>
      <c r="CJ150" s="104"/>
      <c r="CK150" s="104"/>
      <c r="CL150" s="104"/>
      <c r="CM150" s="104"/>
      <c r="CN150" s="104"/>
      <c r="CO150" s="104"/>
      <c r="CP150" s="104"/>
      <c r="CQ150" s="147"/>
    </row>
    <row r="151" spans="1:95">
      <c r="A151" s="146"/>
      <c r="B151" s="542">
        <v>69</v>
      </c>
      <c r="C151" s="826"/>
      <c r="D151" s="827"/>
      <c r="F151" s="104"/>
      <c r="G151" s="104"/>
      <c r="H151" s="104"/>
      <c r="I151" s="104"/>
      <c r="J151" s="104"/>
      <c r="K151" s="104"/>
      <c r="L151" s="104"/>
      <c r="M151" s="104"/>
      <c r="N151" s="104"/>
      <c r="O151" s="104"/>
      <c r="P151" s="104"/>
      <c r="Q151" s="104"/>
      <c r="R151" s="104"/>
      <c r="S151" s="147"/>
      <c r="T151" s="146"/>
      <c r="U151" s="542">
        <v>69</v>
      </c>
      <c r="V151" s="826"/>
      <c r="W151" s="827"/>
      <c r="Y151" s="104"/>
      <c r="Z151" s="104"/>
      <c r="AA151" s="104"/>
      <c r="AB151" s="104"/>
      <c r="AC151" s="104"/>
      <c r="AD151" s="104"/>
      <c r="AE151" s="104"/>
      <c r="AF151" s="104"/>
      <c r="AG151" s="104"/>
      <c r="AH151" s="104"/>
      <c r="AI151" s="104"/>
      <c r="AJ151" s="104"/>
      <c r="AK151" s="104"/>
      <c r="AL151" s="147"/>
      <c r="AM151" s="146"/>
      <c r="AN151" s="542">
        <v>69</v>
      </c>
      <c r="AO151" s="826"/>
      <c r="AP151" s="827"/>
      <c r="AR151" s="104"/>
      <c r="AS151" s="104"/>
      <c r="AT151" s="104"/>
      <c r="AU151" s="104"/>
      <c r="AV151" s="104"/>
      <c r="AW151" s="104"/>
      <c r="AX151" s="104"/>
      <c r="AY151" s="104"/>
      <c r="AZ151" s="104"/>
      <c r="BA151" s="104"/>
      <c r="BB151" s="104"/>
      <c r="BC151" s="104"/>
      <c r="BD151" s="104"/>
      <c r="BE151" s="147"/>
      <c r="BF151" s="146"/>
      <c r="BG151" s="542">
        <v>69</v>
      </c>
      <c r="BH151" s="826"/>
      <c r="BI151" s="827"/>
      <c r="BK151" s="104"/>
      <c r="BL151" s="104"/>
      <c r="BM151" s="104"/>
      <c r="BN151" s="104"/>
      <c r="BO151" s="104"/>
      <c r="BP151" s="104"/>
      <c r="BQ151" s="104"/>
      <c r="BR151" s="104"/>
      <c r="BS151" s="104"/>
      <c r="BT151" s="104"/>
      <c r="BU151" s="104"/>
      <c r="BV151" s="104"/>
      <c r="BW151" s="104"/>
      <c r="BX151" s="147"/>
      <c r="BY151" s="146"/>
      <c r="BZ151" s="542">
        <v>69</v>
      </c>
      <c r="CA151" s="826"/>
      <c r="CB151" s="827"/>
      <c r="CD151" s="104"/>
      <c r="CE151" s="104"/>
      <c r="CF151" s="104"/>
      <c r="CG151" s="104"/>
      <c r="CH151" s="104"/>
      <c r="CI151" s="104"/>
      <c r="CJ151" s="104"/>
      <c r="CK151" s="104"/>
      <c r="CL151" s="104"/>
      <c r="CM151" s="104"/>
      <c r="CN151" s="104"/>
      <c r="CO151" s="104"/>
      <c r="CP151" s="104"/>
      <c r="CQ151" s="147"/>
    </row>
    <row r="152" spans="1:95">
      <c r="A152" s="146"/>
      <c r="B152" s="542">
        <v>70</v>
      </c>
      <c r="C152" s="826"/>
      <c r="D152" s="827"/>
      <c r="F152" s="104"/>
      <c r="G152" s="104"/>
      <c r="H152" s="104"/>
      <c r="I152" s="104"/>
      <c r="J152" s="104"/>
      <c r="K152" s="104"/>
      <c r="L152" s="104"/>
      <c r="M152" s="104"/>
      <c r="N152" s="104"/>
      <c r="O152" s="104"/>
      <c r="P152" s="104"/>
      <c r="Q152" s="104"/>
      <c r="R152" s="104"/>
      <c r="S152" s="147"/>
      <c r="T152" s="146"/>
      <c r="U152" s="542">
        <v>70</v>
      </c>
      <c r="V152" s="826"/>
      <c r="W152" s="827"/>
      <c r="Y152" s="104"/>
      <c r="Z152" s="104"/>
      <c r="AA152" s="104"/>
      <c r="AB152" s="104"/>
      <c r="AC152" s="104"/>
      <c r="AD152" s="104"/>
      <c r="AE152" s="104"/>
      <c r="AF152" s="104"/>
      <c r="AG152" s="104"/>
      <c r="AH152" s="104"/>
      <c r="AI152" s="104"/>
      <c r="AJ152" s="104"/>
      <c r="AK152" s="104"/>
      <c r="AL152" s="147"/>
      <c r="AM152" s="146"/>
      <c r="AN152" s="542">
        <v>70</v>
      </c>
      <c r="AO152" s="826"/>
      <c r="AP152" s="827"/>
      <c r="AR152" s="104"/>
      <c r="AS152" s="104"/>
      <c r="AT152" s="104"/>
      <c r="AU152" s="104"/>
      <c r="AV152" s="104"/>
      <c r="AW152" s="104"/>
      <c r="AX152" s="104"/>
      <c r="AY152" s="104"/>
      <c r="AZ152" s="104"/>
      <c r="BA152" s="104"/>
      <c r="BB152" s="104"/>
      <c r="BC152" s="104"/>
      <c r="BD152" s="104"/>
      <c r="BE152" s="147"/>
      <c r="BF152" s="146"/>
      <c r="BG152" s="542">
        <v>70</v>
      </c>
      <c r="BH152" s="826"/>
      <c r="BI152" s="827"/>
      <c r="BK152" s="104"/>
      <c r="BL152" s="104"/>
      <c r="BM152" s="104"/>
      <c r="BN152" s="104"/>
      <c r="BO152" s="104"/>
      <c r="BP152" s="104"/>
      <c r="BQ152" s="104"/>
      <c r="BR152" s="104"/>
      <c r="BS152" s="104"/>
      <c r="BT152" s="104"/>
      <c r="BU152" s="104"/>
      <c r="BV152" s="104"/>
      <c r="BW152" s="104"/>
      <c r="BX152" s="147"/>
      <c r="BY152" s="146"/>
      <c r="BZ152" s="542">
        <v>70</v>
      </c>
      <c r="CA152" s="826"/>
      <c r="CB152" s="827"/>
      <c r="CD152" s="104"/>
      <c r="CE152" s="104"/>
      <c r="CF152" s="104"/>
      <c r="CG152" s="104"/>
      <c r="CH152" s="104"/>
      <c r="CI152" s="104"/>
      <c r="CJ152" s="104"/>
      <c r="CK152" s="104"/>
      <c r="CL152" s="104"/>
      <c r="CM152" s="104"/>
      <c r="CN152" s="104"/>
      <c r="CO152" s="104"/>
      <c r="CP152" s="104"/>
      <c r="CQ152" s="147"/>
    </row>
    <row r="153" spans="1:95">
      <c r="A153" s="146"/>
      <c r="B153" s="542">
        <v>71</v>
      </c>
      <c r="C153" s="826"/>
      <c r="D153" s="827"/>
      <c r="F153" s="104"/>
      <c r="G153" s="104"/>
      <c r="H153" s="104"/>
      <c r="I153" s="104"/>
      <c r="J153" s="104"/>
      <c r="K153" s="104"/>
      <c r="L153" s="104"/>
      <c r="M153" s="104"/>
      <c r="N153" s="104"/>
      <c r="O153" s="104"/>
      <c r="P153" s="104"/>
      <c r="Q153" s="104"/>
      <c r="R153" s="104"/>
      <c r="S153" s="147"/>
      <c r="T153" s="146"/>
      <c r="U153" s="542">
        <v>71</v>
      </c>
      <c r="V153" s="826"/>
      <c r="W153" s="827"/>
      <c r="Y153" s="104"/>
      <c r="Z153" s="104"/>
      <c r="AA153" s="104"/>
      <c r="AB153" s="104"/>
      <c r="AC153" s="104"/>
      <c r="AD153" s="104"/>
      <c r="AE153" s="104"/>
      <c r="AF153" s="104"/>
      <c r="AG153" s="104"/>
      <c r="AH153" s="104"/>
      <c r="AI153" s="104"/>
      <c r="AJ153" s="104"/>
      <c r="AK153" s="104"/>
      <c r="AL153" s="147"/>
      <c r="AM153" s="146"/>
      <c r="AN153" s="542">
        <v>71</v>
      </c>
      <c r="AO153" s="826"/>
      <c r="AP153" s="827"/>
      <c r="AR153" s="104"/>
      <c r="AS153" s="104"/>
      <c r="AT153" s="104"/>
      <c r="AU153" s="104"/>
      <c r="AV153" s="104"/>
      <c r="AW153" s="104"/>
      <c r="AX153" s="104"/>
      <c r="AY153" s="104"/>
      <c r="AZ153" s="104"/>
      <c r="BA153" s="104"/>
      <c r="BB153" s="104"/>
      <c r="BC153" s="104"/>
      <c r="BD153" s="104"/>
      <c r="BE153" s="147"/>
      <c r="BF153" s="146"/>
      <c r="BG153" s="542">
        <v>71</v>
      </c>
      <c r="BH153" s="826"/>
      <c r="BI153" s="827"/>
      <c r="BK153" s="104"/>
      <c r="BL153" s="104"/>
      <c r="BM153" s="104"/>
      <c r="BN153" s="104"/>
      <c r="BO153" s="104"/>
      <c r="BP153" s="104"/>
      <c r="BQ153" s="104"/>
      <c r="BR153" s="104"/>
      <c r="BS153" s="104"/>
      <c r="BT153" s="104"/>
      <c r="BU153" s="104"/>
      <c r="BV153" s="104"/>
      <c r="BW153" s="104"/>
      <c r="BX153" s="147"/>
      <c r="BY153" s="146"/>
      <c r="BZ153" s="542">
        <v>71</v>
      </c>
      <c r="CA153" s="826"/>
      <c r="CB153" s="827"/>
      <c r="CD153" s="104"/>
      <c r="CE153" s="104"/>
      <c r="CF153" s="104"/>
      <c r="CG153" s="104"/>
      <c r="CH153" s="104"/>
      <c r="CI153" s="104"/>
      <c r="CJ153" s="104"/>
      <c r="CK153" s="104"/>
      <c r="CL153" s="104"/>
      <c r="CM153" s="104"/>
      <c r="CN153" s="104"/>
      <c r="CO153" s="104"/>
      <c r="CP153" s="104"/>
      <c r="CQ153" s="147"/>
    </row>
    <row r="154" spans="1:95">
      <c r="A154" s="146"/>
      <c r="B154" s="542">
        <v>72</v>
      </c>
      <c r="C154" s="826"/>
      <c r="D154" s="827"/>
      <c r="F154" s="104"/>
      <c r="G154" s="104"/>
      <c r="H154" s="104"/>
      <c r="I154" s="104"/>
      <c r="J154" s="104"/>
      <c r="K154" s="104"/>
      <c r="L154" s="104"/>
      <c r="M154" s="104"/>
      <c r="N154" s="104"/>
      <c r="O154" s="104"/>
      <c r="P154" s="104"/>
      <c r="Q154" s="104"/>
      <c r="R154" s="104"/>
      <c r="S154" s="147"/>
      <c r="T154" s="146"/>
      <c r="U154" s="542">
        <v>72</v>
      </c>
      <c r="V154" s="826"/>
      <c r="W154" s="827"/>
      <c r="Y154" s="104"/>
      <c r="Z154" s="104"/>
      <c r="AA154" s="104"/>
      <c r="AB154" s="104"/>
      <c r="AC154" s="104"/>
      <c r="AD154" s="104"/>
      <c r="AE154" s="104"/>
      <c r="AF154" s="104"/>
      <c r="AG154" s="104"/>
      <c r="AH154" s="104"/>
      <c r="AI154" s="104"/>
      <c r="AJ154" s="104"/>
      <c r="AK154" s="104"/>
      <c r="AL154" s="147"/>
      <c r="AM154" s="146"/>
      <c r="AN154" s="542">
        <v>72</v>
      </c>
      <c r="AO154" s="826"/>
      <c r="AP154" s="827"/>
      <c r="AR154" s="104"/>
      <c r="AS154" s="104"/>
      <c r="AT154" s="104"/>
      <c r="AU154" s="104"/>
      <c r="AV154" s="104"/>
      <c r="AW154" s="104"/>
      <c r="AX154" s="104"/>
      <c r="AY154" s="104"/>
      <c r="AZ154" s="104"/>
      <c r="BA154" s="104"/>
      <c r="BB154" s="104"/>
      <c r="BC154" s="104"/>
      <c r="BD154" s="104"/>
      <c r="BE154" s="147"/>
      <c r="BF154" s="146"/>
      <c r="BG154" s="542">
        <v>72</v>
      </c>
      <c r="BH154" s="826"/>
      <c r="BI154" s="827"/>
      <c r="BK154" s="104"/>
      <c r="BL154" s="104"/>
      <c r="BM154" s="104"/>
      <c r="BN154" s="104"/>
      <c r="BO154" s="104"/>
      <c r="BP154" s="104"/>
      <c r="BQ154" s="104"/>
      <c r="BR154" s="104"/>
      <c r="BS154" s="104"/>
      <c r="BT154" s="104"/>
      <c r="BU154" s="104"/>
      <c r="BV154" s="104"/>
      <c r="BW154" s="104"/>
      <c r="BX154" s="147"/>
      <c r="BY154" s="146"/>
      <c r="BZ154" s="542">
        <v>72</v>
      </c>
      <c r="CA154" s="826"/>
      <c r="CB154" s="827"/>
      <c r="CD154" s="104"/>
      <c r="CE154" s="104"/>
      <c r="CF154" s="104"/>
      <c r="CG154" s="104"/>
      <c r="CH154" s="104"/>
      <c r="CI154" s="104"/>
      <c r="CJ154" s="104"/>
      <c r="CK154" s="104"/>
      <c r="CL154" s="104"/>
      <c r="CM154" s="104"/>
      <c r="CN154" s="104"/>
      <c r="CO154" s="104"/>
      <c r="CP154" s="104"/>
      <c r="CQ154" s="147"/>
    </row>
    <row r="155" spans="1:95">
      <c r="A155" s="146"/>
      <c r="B155" s="542">
        <v>73</v>
      </c>
      <c r="C155" s="826"/>
      <c r="D155" s="827"/>
      <c r="F155" s="104"/>
      <c r="G155" s="104"/>
      <c r="H155" s="104"/>
      <c r="I155" s="104"/>
      <c r="J155" s="104"/>
      <c r="K155" s="104"/>
      <c r="L155" s="104"/>
      <c r="M155" s="104"/>
      <c r="N155" s="104"/>
      <c r="O155" s="104"/>
      <c r="P155" s="104"/>
      <c r="Q155" s="104"/>
      <c r="R155" s="104"/>
      <c r="S155" s="147"/>
      <c r="T155" s="146"/>
      <c r="U155" s="542">
        <v>73</v>
      </c>
      <c r="V155" s="826"/>
      <c r="W155" s="827"/>
      <c r="Y155" s="104"/>
      <c r="Z155" s="104"/>
      <c r="AA155" s="104"/>
      <c r="AB155" s="104"/>
      <c r="AC155" s="104"/>
      <c r="AD155" s="104"/>
      <c r="AE155" s="104"/>
      <c r="AF155" s="104"/>
      <c r="AG155" s="104"/>
      <c r="AH155" s="104"/>
      <c r="AI155" s="104"/>
      <c r="AJ155" s="104"/>
      <c r="AK155" s="104"/>
      <c r="AL155" s="147"/>
      <c r="AM155" s="146"/>
      <c r="AN155" s="542">
        <v>73</v>
      </c>
      <c r="AO155" s="826"/>
      <c r="AP155" s="827"/>
      <c r="AR155" s="104"/>
      <c r="AS155" s="104"/>
      <c r="AT155" s="104"/>
      <c r="AU155" s="104"/>
      <c r="AV155" s="104"/>
      <c r="AW155" s="104"/>
      <c r="AX155" s="104"/>
      <c r="AY155" s="104"/>
      <c r="AZ155" s="104"/>
      <c r="BA155" s="104"/>
      <c r="BB155" s="104"/>
      <c r="BC155" s="104"/>
      <c r="BD155" s="104"/>
      <c r="BE155" s="147"/>
      <c r="BF155" s="146"/>
      <c r="BG155" s="542">
        <v>73</v>
      </c>
      <c r="BH155" s="826"/>
      <c r="BI155" s="827"/>
      <c r="BK155" s="104"/>
      <c r="BL155" s="104"/>
      <c r="BM155" s="104"/>
      <c r="BN155" s="104"/>
      <c r="BO155" s="104"/>
      <c r="BP155" s="104"/>
      <c r="BQ155" s="104"/>
      <c r="BR155" s="104"/>
      <c r="BS155" s="104"/>
      <c r="BT155" s="104"/>
      <c r="BU155" s="104"/>
      <c r="BV155" s="104"/>
      <c r="BW155" s="104"/>
      <c r="BX155" s="147"/>
      <c r="BY155" s="146"/>
      <c r="BZ155" s="542">
        <v>73</v>
      </c>
      <c r="CA155" s="826"/>
      <c r="CB155" s="827"/>
      <c r="CD155" s="104"/>
      <c r="CE155" s="104"/>
      <c r="CF155" s="104"/>
      <c r="CG155" s="104"/>
      <c r="CH155" s="104"/>
      <c r="CI155" s="104"/>
      <c r="CJ155" s="104"/>
      <c r="CK155" s="104"/>
      <c r="CL155" s="104"/>
      <c r="CM155" s="104"/>
      <c r="CN155" s="104"/>
      <c r="CO155" s="104"/>
      <c r="CP155" s="104"/>
      <c r="CQ155" s="147"/>
    </row>
    <row r="156" spans="1:95">
      <c r="A156" s="146"/>
      <c r="B156" s="542">
        <v>74</v>
      </c>
      <c r="C156" s="826"/>
      <c r="D156" s="827"/>
      <c r="F156" s="104"/>
      <c r="G156" s="104"/>
      <c r="H156" s="104"/>
      <c r="I156" s="104"/>
      <c r="J156" s="104"/>
      <c r="K156" s="104"/>
      <c r="L156" s="104"/>
      <c r="M156" s="104"/>
      <c r="N156" s="104"/>
      <c r="O156" s="104"/>
      <c r="P156" s="104"/>
      <c r="Q156" s="104"/>
      <c r="R156" s="104"/>
      <c r="S156" s="147"/>
      <c r="T156" s="146"/>
      <c r="U156" s="542">
        <v>74</v>
      </c>
      <c r="V156" s="826"/>
      <c r="W156" s="827"/>
      <c r="Y156" s="104"/>
      <c r="Z156" s="104"/>
      <c r="AA156" s="104"/>
      <c r="AB156" s="104"/>
      <c r="AC156" s="104"/>
      <c r="AD156" s="104"/>
      <c r="AE156" s="104"/>
      <c r="AF156" s="104"/>
      <c r="AG156" s="104"/>
      <c r="AH156" s="104"/>
      <c r="AI156" s="104"/>
      <c r="AJ156" s="104"/>
      <c r="AK156" s="104"/>
      <c r="AL156" s="147"/>
      <c r="AM156" s="146"/>
      <c r="AN156" s="542">
        <v>74</v>
      </c>
      <c r="AO156" s="826"/>
      <c r="AP156" s="827"/>
      <c r="AR156" s="104"/>
      <c r="AS156" s="104"/>
      <c r="AT156" s="104"/>
      <c r="AU156" s="104"/>
      <c r="AV156" s="104"/>
      <c r="AW156" s="104"/>
      <c r="AX156" s="104"/>
      <c r="AY156" s="104"/>
      <c r="AZ156" s="104"/>
      <c r="BA156" s="104"/>
      <c r="BB156" s="104"/>
      <c r="BC156" s="104"/>
      <c r="BD156" s="104"/>
      <c r="BE156" s="147"/>
      <c r="BF156" s="146"/>
      <c r="BG156" s="542">
        <v>74</v>
      </c>
      <c r="BH156" s="826"/>
      <c r="BI156" s="827"/>
      <c r="BK156" s="104"/>
      <c r="BL156" s="104"/>
      <c r="BM156" s="104"/>
      <c r="BN156" s="104"/>
      <c r="BO156" s="104"/>
      <c r="BP156" s="104"/>
      <c r="BQ156" s="104"/>
      <c r="BR156" s="104"/>
      <c r="BS156" s="104"/>
      <c r="BT156" s="104"/>
      <c r="BU156" s="104"/>
      <c r="BV156" s="104"/>
      <c r="BW156" s="104"/>
      <c r="BX156" s="147"/>
      <c r="BY156" s="146"/>
      <c r="BZ156" s="542">
        <v>74</v>
      </c>
      <c r="CA156" s="826"/>
      <c r="CB156" s="827"/>
      <c r="CD156" s="104"/>
      <c r="CE156" s="104"/>
      <c r="CF156" s="104"/>
      <c r="CG156" s="104"/>
      <c r="CH156" s="104"/>
      <c r="CI156" s="104"/>
      <c r="CJ156" s="104"/>
      <c r="CK156" s="104"/>
      <c r="CL156" s="104"/>
      <c r="CM156" s="104"/>
      <c r="CN156" s="104"/>
      <c r="CO156" s="104"/>
      <c r="CP156" s="104"/>
      <c r="CQ156" s="147"/>
    </row>
    <row r="157" spans="1:95">
      <c r="A157" s="146"/>
      <c r="B157" s="542">
        <v>75</v>
      </c>
      <c r="C157" s="826"/>
      <c r="D157" s="827"/>
      <c r="F157" s="104"/>
      <c r="G157" s="104"/>
      <c r="H157" s="104"/>
      <c r="I157" s="104"/>
      <c r="J157" s="104"/>
      <c r="K157" s="104"/>
      <c r="L157" s="104"/>
      <c r="M157" s="104"/>
      <c r="N157" s="104"/>
      <c r="O157" s="104"/>
      <c r="P157" s="104"/>
      <c r="Q157" s="104"/>
      <c r="R157" s="104"/>
      <c r="S157" s="147"/>
      <c r="T157" s="146"/>
      <c r="U157" s="542">
        <v>75</v>
      </c>
      <c r="V157" s="826"/>
      <c r="W157" s="827"/>
      <c r="Y157" s="104"/>
      <c r="Z157" s="104"/>
      <c r="AA157" s="104"/>
      <c r="AB157" s="104"/>
      <c r="AC157" s="104"/>
      <c r="AD157" s="104"/>
      <c r="AE157" s="104"/>
      <c r="AF157" s="104"/>
      <c r="AG157" s="104"/>
      <c r="AH157" s="104"/>
      <c r="AI157" s="104"/>
      <c r="AJ157" s="104"/>
      <c r="AK157" s="104"/>
      <c r="AL157" s="147"/>
      <c r="AM157" s="146"/>
      <c r="AN157" s="542">
        <v>75</v>
      </c>
      <c r="AO157" s="826"/>
      <c r="AP157" s="827"/>
      <c r="AR157" s="104"/>
      <c r="AS157" s="104"/>
      <c r="AT157" s="104"/>
      <c r="AU157" s="104"/>
      <c r="AV157" s="104"/>
      <c r="AW157" s="104"/>
      <c r="AX157" s="104"/>
      <c r="AY157" s="104"/>
      <c r="AZ157" s="104"/>
      <c r="BA157" s="104"/>
      <c r="BB157" s="104"/>
      <c r="BC157" s="104"/>
      <c r="BD157" s="104"/>
      <c r="BE157" s="147"/>
      <c r="BF157" s="146"/>
      <c r="BG157" s="542">
        <v>75</v>
      </c>
      <c r="BH157" s="826"/>
      <c r="BI157" s="827"/>
      <c r="BK157" s="104"/>
      <c r="BL157" s="104"/>
      <c r="BM157" s="104"/>
      <c r="BN157" s="104"/>
      <c r="BO157" s="104"/>
      <c r="BP157" s="104"/>
      <c r="BQ157" s="104"/>
      <c r="BR157" s="104"/>
      <c r="BS157" s="104"/>
      <c r="BT157" s="104"/>
      <c r="BU157" s="104"/>
      <c r="BV157" s="104"/>
      <c r="BW157" s="104"/>
      <c r="BX157" s="147"/>
      <c r="BY157" s="146"/>
      <c r="BZ157" s="542">
        <v>75</v>
      </c>
      <c r="CA157" s="826"/>
      <c r="CB157" s="827"/>
      <c r="CD157" s="104"/>
      <c r="CE157" s="104"/>
      <c r="CF157" s="104"/>
      <c r="CG157" s="104"/>
      <c r="CH157" s="104"/>
      <c r="CI157" s="104"/>
      <c r="CJ157" s="104"/>
      <c r="CK157" s="104"/>
      <c r="CL157" s="104"/>
      <c r="CM157" s="104"/>
      <c r="CN157" s="104"/>
      <c r="CO157" s="104"/>
      <c r="CP157" s="104"/>
      <c r="CQ157" s="147"/>
    </row>
    <row r="158" spans="1:95">
      <c r="A158" s="146"/>
      <c r="B158" s="542">
        <v>76</v>
      </c>
      <c r="C158" s="826"/>
      <c r="D158" s="827"/>
      <c r="F158" s="104"/>
      <c r="G158" s="104"/>
      <c r="H158" s="104"/>
      <c r="I158" s="104"/>
      <c r="J158" s="104"/>
      <c r="K158" s="104"/>
      <c r="L158" s="104"/>
      <c r="M158" s="104"/>
      <c r="N158" s="104"/>
      <c r="O158" s="104"/>
      <c r="P158" s="104"/>
      <c r="Q158" s="104"/>
      <c r="R158" s="104"/>
      <c r="S158" s="147"/>
      <c r="T158" s="146"/>
      <c r="U158" s="542">
        <v>76</v>
      </c>
      <c r="V158" s="826"/>
      <c r="W158" s="827"/>
      <c r="Y158" s="104"/>
      <c r="Z158" s="104"/>
      <c r="AA158" s="104"/>
      <c r="AB158" s="104"/>
      <c r="AC158" s="104"/>
      <c r="AD158" s="104"/>
      <c r="AE158" s="104"/>
      <c r="AF158" s="104"/>
      <c r="AG158" s="104"/>
      <c r="AH158" s="104"/>
      <c r="AI158" s="104"/>
      <c r="AJ158" s="104"/>
      <c r="AK158" s="104"/>
      <c r="AL158" s="147"/>
      <c r="AM158" s="146"/>
      <c r="AN158" s="542">
        <v>76</v>
      </c>
      <c r="AO158" s="826"/>
      <c r="AP158" s="827"/>
      <c r="AR158" s="104"/>
      <c r="AS158" s="104"/>
      <c r="AT158" s="104"/>
      <c r="AU158" s="104"/>
      <c r="AV158" s="104"/>
      <c r="AW158" s="104"/>
      <c r="AX158" s="104"/>
      <c r="AY158" s="104"/>
      <c r="AZ158" s="104"/>
      <c r="BA158" s="104"/>
      <c r="BB158" s="104"/>
      <c r="BC158" s="104"/>
      <c r="BD158" s="104"/>
      <c r="BE158" s="147"/>
      <c r="BF158" s="146"/>
      <c r="BG158" s="542">
        <v>76</v>
      </c>
      <c r="BH158" s="826"/>
      <c r="BI158" s="827"/>
      <c r="BK158" s="104"/>
      <c r="BL158" s="104"/>
      <c r="BM158" s="104"/>
      <c r="BN158" s="104"/>
      <c r="BO158" s="104"/>
      <c r="BP158" s="104"/>
      <c r="BQ158" s="104"/>
      <c r="BR158" s="104"/>
      <c r="BS158" s="104"/>
      <c r="BT158" s="104"/>
      <c r="BU158" s="104"/>
      <c r="BV158" s="104"/>
      <c r="BW158" s="104"/>
      <c r="BX158" s="147"/>
      <c r="BY158" s="146"/>
      <c r="BZ158" s="542">
        <v>76</v>
      </c>
      <c r="CA158" s="826"/>
      <c r="CB158" s="827"/>
      <c r="CD158" s="104"/>
      <c r="CE158" s="104"/>
      <c r="CF158" s="104"/>
      <c r="CG158" s="104"/>
      <c r="CH158" s="104"/>
      <c r="CI158" s="104"/>
      <c r="CJ158" s="104"/>
      <c r="CK158" s="104"/>
      <c r="CL158" s="104"/>
      <c r="CM158" s="104"/>
      <c r="CN158" s="104"/>
      <c r="CO158" s="104"/>
      <c r="CP158" s="104"/>
      <c r="CQ158" s="147"/>
    </row>
    <row r="159" spans="1:95">
      <c r="A159" s="146"/>
      <c r="B159" s="542">
        <v>77</v>
      </c>
      <c r="C159" s="826"/>
      <c r="D159" s="827"/>
      <c r="F159" s="104"/>
      <c r="G159" s="104"/>
      <c r="H159" s="104"/>
      <c r="I159" s="104"/>
      <c r="J159" s="104"/>
      <c r="K159" s="104"/>
      <c r="L159" s="104"/>
      <c r="M159" s="104"/>
      <c r="N159" s="104"/>
      <c r="O159" s="104"/>
      <c r="P159" s="104"/>
      <c r="Q159" s="104"/>
      <c r="R159" s="104"/>
      <c r="S159" s="147"/>
      <c r="T159" s="146"/>
      <c r="U159" s="542">
        <v>77</v>
      </c>
      <c r="V159" s="826"/>
      <c r="W159" s="827"/>
      <c r="Y159" s="104"/>
      <c r="Z159" s="104"/>
      <c r="AA159" s="104"/>
      <c r="AB159" s="104"/>
      <c r="AC159" s="104"/>
      <c r="AD159" s="104"/>
      <c r="AE159" s="104"/>
      <c r="AF159" s="104"/>
      <c r="AG159" s="104"/>
      <c r="AH159" s="104"/>
      <c r="AI159" s="104"/>
      <c r="AJ159" s="104"/>
      <c r="AK159" s="104"/>
      <c r="AL159" s="147"/>
      <c r="AM159" s="146"/>
      <c r="AN159" s="542">
        <v>77</v>
      </c>
      <c r="AO159" s="826"/>
      <c r="AP159" s="827"/>
      <c r="AR159" s="104"/>
      <c r="AS159" s="104"/>
      <c r="AT159" s="104"/>
      <c r="AU159" s="104"/>
      <c r="AV159" s="104"/>
      <c r="AW159" s="104"/>
      <c r="AX159" s="104"/>
      <c r="AY159" s="104"/>
      <c r="AZ159" s="104"/>
      <c r="BA159" s="104"/>
      <c r="BB159" s="104"/>
      <c r="BC159" s="104"/>
      <c r="BD159" s="104"/>
      <c r="BE159" s="147"/>
      <c r="BF159" s="146"/>
      <c r="BG159" s="542">
        <v>77</v>
      </c>
      <c r="BH159" s="826"/>
      <c r="BI159" s="827"/>
      <c r="BK159" s="104"/>
      <c r="BL159" s="104"/>
      <c r="BM159" s="104"/>
      <c r="BN159" s="104"/>
      <c r="BO159" s="104"/>
      <c r="BP159" s="104"/>
      <c r="BQ159" s="104"/>
      <c r="BR159" s="104"/>
      <c r="BS159" s="104"/>
      <c r="BT159" s="104"/>
      <c r="BU159" s="104"/>
      <c r="BV159" s="104"/>
      <c r="BW159" s="104"/>
      <c r="BX159" s="147"/>
      <c r="BY159" s="146"/>
      <c r="BZ159" s="542">
        <v>77</v>
      </c>
      <c r="CA159" s="826"/>
      <c r="CB159" s="827"/>
      <c r="CD159" s="104"/>
      <c r="CE159" s="104"/>
      <c r="CF159" s="104"/>
      <c r="CG159" s="104"/>
      <c r="CH159" s="104"/>
      <c r="CI159" s="104"/>
      <c r="CJ159" s="104"/>
      <c r="CK159" s="104"/>
      <c r="CL159" s="104"/>
      <c r="CM159" s="104"/>
      <c r="CN159" s="104"/>
      <c r="CO159" s="104"/>
      <c r="CP159" s="104"/>
      <c r="CQ159" s="147"/>
    </row>
    <row r="160" spans="1:95">
      <c r="A160" s="146"/>
      <c r="B160" s="542">
        <v>78</v>
      </c>
      <c r="C160" s="826"/>
      <c r="D160" s="827"/>
      <c r="F160" s="104"/>
      <c r="G160" s="104"/>
      <c r="H160" s="104"/>
      <c r="I160" s="104"/>
      <c r="J160" s="104"/>
      <c r="K160" s="104"/>
      <c r="L160" s="104"/>
      <c r="M160" s="104"/>
      <c r="N160" s="104"/>
      <c r="O160" s="104"/>
      <c r="P160" s="104"/>
      <c r="Q160" s="104"/>
      <c r="R160" s="104"/>
      <c r="S160" s="147"/>
      <c r="T160" s="146"/>
      <c r="U160" s="542">
        <v>78</v>
      </c>
      <c r="V160" s="826"/>
      <c r="W160" s="827"/>
      <c r="Y160" s="104"/>
      <c r="Z160" s="104"/>
      <c r="AA160" s="104"/>
      <c r="AB160" s="104"/>
      <c r="AC160" s="104"/>
      <c r="AD160" s="104"/>
      <c r="AE160" s="104"/>
      <c r="AF160" s="104"/>
      <c r="AG160" s="104"/>
      <c r="AH160" s="104"/>
      <c r="AI160" s="104"/>
      <c r="AJ160" s="104"/>
      <c r="AK160" s="104"/>
      <c r="AL160" s="147"/>
      <c r="AM160" s="146"/>
      <c r="AN160" s="542">
        <v>78</v>
      </c>
      <c r="AO160" s="826"/>
      <c r="AP160" s="827"/>
      <c r="AR160" s="104"/>
      <c r="AS160" s="104"/>
      <c r="AT160" s="104"/>
      <c r="AU160" s="104"/>
      <c r="AV160" s="104"/>
      <c r="AW160" s="104"/>
      <c r="AX160" s="104"/>
      <c r="AY160" s="104"/>
      <c r="AZ160" s="104"/>
      <c r="BA160" s="104"/>
      <c r="BB160" s="104"/>
      <c r="BC160" s="104"/>
      <c r="BD160" s="104"/>
      <c r="BE160" s="147"/>
      <c r="BF160" s="146"/>
      <c r="BG160" s="542">
        <v>78</v>
      </c>
      <c r="BH160" s="826"/>
      <c r="BI160" s="827"/>
      <c r="BK160" s="104"/>
      <c r="BL160" s="104"/>
      <c r="BM160" s="104"/>
      <c r="BN160" s="104"/>
      <c r="BO160" s="104"/>
      <c r="BP160" s="104"/>
      <c r="BQ160" s="104"/>
      <c r="BR160" s="104"/>
      <c r="BS160" s="104"/>
      <c r="BT160" s="104"/>
      <c r="BU160" s="104"/>
      <c r="BV160" s="104"/>
      <c r="BW160" s="104"/>
      <c r="BX160" s="147"/>
      <c r="BY160" s="146"/>
      <c r="BZ160" s="542">
        <v>78</v>
      </c>
      <c r="CA160" s="826"/>
      <c r="CB160" s="827"/>
      <c r="CD160" s="104"/>
      <c r="CE160" s="104"/>
      <c r="CF160" s="104"/>
      <c r="CG160" s="104"/>
      <c r="CH160" s="104"/>
      <c r="CI160" s="104"/>
      <c r="CJ160" s="104"/>
      <c r="CK160" s="104"/>
      <c r="CL160" s="104"/>
      <c r="CM160" s="104"/>
      <c r="CN160" s="104"/>
      <c r="CO160" s="104"/>
      <c r="CP160" s="104"/>
      <c r="CQ160" s="147"/>
    </row>
    <row r="161" spans="1:95">
      <c r="A161" s="146"/>
      <c r="B161" s="542">
        <v>79</v>
      </c>
      <c r="C161" s="826"/>
      <c r="D161" s="827"/>
      <c r="F161" s="104"/>
      <c r="G161" s="104"/>
      <c r="H161" s="104"/>
      <c r="I161" s="104"/>
      <c r="J161" s="104"/>
      <c r="K161" s="104"/>
      <c r="L161" s="104"/>
      <c r="M161" s="104"/>
      <c r="N161" s="104"/>
      <c r="O161" s="104"/>
      <c r="P161" s="104"/>
      <c r="Q161" s="104"/>
      <c r="R161" s="104"/>
      <c r="S161" s="147"/>
      <c r="T161" s="146"/>
      <c r="U161" s="542">
        <v>79</v>
      </c>
      <c r="V161" s="826"/>
      <c r="W161" s="827"/>
      <c r="Y161" s="104"/>
      <c r="Z161" s="104"/>
      <c r="AA161" s="104"/>
      <c r="AB161" s="104"/>
      <c r="AC161" s="104"/>
      <c r="AD161" s="104"/>
      <c r="AE161" s="104"/>
      <c r="AF161" s="104"/>
      <c r="AG161" s="104"/>
      <c r="AH161" s="104"/>
      <c r="AI161" s="104"/>
      <c r="AJ161" s="104"/>
      <c r="AK161" s="104"/>
      <c r="AL161" s="147"/>
      <c r="AM161" s="146"/>
      <c r="AN161" s="542">
        <v>79</v>
      </c>
      <c r="AO161" s="826"/>
      <c r="AP161" s="827"/>
      <c r="AR161" s="104"/>
      <c r="AS161" s="104"/>
      <c r="AT161" s="104"/>
      <c r="AU161" s="104"/>
      <c r="AV161" s="104"/>
      <c r="AW161" s="104"/>
      <c r="AX161" s="104"/>
      <c r="AY161" s="104"/>
      <c r="AZ161" s="104"/>
      <c r="BA161" s="104"/>
      <c r="BB161" s="104"/>
      <c r="BC161" s="104"/>
      <c r="BD161" s="104"/>
      <c r="BE161" s="147"/>
      <c r="BF161" s="146"/>
      <c r="BG161" s="542">
        <v>79</v>
      </c>
      <c r="BH161" s="826"/>
      <c r="BI161" s="827"/>
      <c r="BK161" s="104"/>
      <c r="BL161" s="104"/>
      <c r="BM161" s="104"/>
      <c r="BN161" s="104"/>
      <c r="BO161" s="104"/>
      <c r="BP161" s="104"/>
      <c r="BQ161" s="104"/>
      <c r="BR161" s="104"/>
      <c r="BS161" s="104"/>
      <c r="BT161" s="104"/>
      <c r="BU161" s="104"/>
      <c r="BV161" s="104"/>
      <c r="BW161" s="104"/>
      <c r="BX161" s="147"/>
      <c r="BY161" s="146"/>
      <c r="BZ161" s="542">
        <v>79</v>
      </c>
      <c r="CA161" s="826"/>
      <c r="CB161" s="827"/>
      <c r="CD161" s="104"/>
      <c r="CE161" s="104"/>
      <c r="CF161" s="104"/>
      <c r="CG161" s="104"/>
      <c r="CH161" s="104"/>
      <c r="CI161" s="104"/>
      <c r="CJ161" s="104"/>
      <c r="CK161" s="104"/>
      <c r="CL161" s="104"/>
      <c r="CM161" s="104"/>
      <c r="CN161" s="104"/>
      <c r="CO161" s="104"/>
      <c r="CP161" s="104"/>
      <c r="CQ161" s="147"/>
    </row>
    <row r="162" spans="1:95">
      <c r="A162" s="146"/>
      <c r="B162" s="542">
        <v>80</v>
      </c>
      <c r="C162" s="826"/>
      <c r="D162" s="827"/>
      <c r="F162" s="104"/>
      <c r="G162" s="104"/>
      <c r="H162" s="104"/>
      <c r="I162" s="104"/>
      <c r="J162" s="104"/>
      <c r="K162" s="104"/>
      <c r="L162" s="104"/>
      <c r="M162" s="104"/>
      <c r="N162" s="104"/>
      <c r="O162" s="104"/>
      <c r="P162" s="104"/>
      <c r="Q162" s="104"/>
      <c r="R162" s="104"/>
      <c r="S162" s="147"/>
      <c r="T162" s="146"/>
      <c r="U162" s="542">
        <v>80</v>
      </c>
      <c r="V162" s="826"/>
      <c r="W162" s="827"/>
      <c r="Y162" s="104"/>
      <c r="Z162" s="104"/>
      <c r="AA162" s="104"/>
      <c r="AB162" s="104"/>
      <c r="AC162" s="104"/>
      <c r="AD162" s="104"/>
      <c r="AE162" s="104"/>
      <c r="AF162" s="104"/>
      <c r="AG162" s="104"/>
      <c r="AH162" s="104"/>
      <c r="AI162" s="104"/>
      <c r="AJ162" s="104"/>
      <c r="AK162" s="104"/>
      <c r="AL162" s="147"/>
      <c r="AM162" s="146"/>
      <c r="AN162" s="542">
        <v>80</v>
      </c>
      <c r="AO162" s="826"/>
      <c r="AP162" s="827"/>
      <c r="AR162" s="104"/>
      <c r="AS162" s="104"/>
      <c r="AT162" s="104"/>
      <c r="AU162" s="104"/>
      <c r="AV162" s="104"/>
      <c r="AW162" s="104"/>
      <c r="AX162" s="104"/>
      <c r="AY162" s="104"/>
      <c r="AZ162" s="104"/>
      <c r="BA162" s="104"/>
      <c r="BB162" s="104"/>
      <c r="BC162" s="104"/>
      <c r="BD162" s="104"/>
      <c r="BE162" s="147"/>
      <c r="BF162" s="146"/>
      <c r="BG162" s="542">
        <v>80</v>
      </c>
      <c r="BH162" s="826"/>
      <c r="BI162" s="827"/>
      <c r="BK162" s="104"/>
      <c r="BL162" s="104"/>
      <c r="BM162" s="104"/>
      <c r="BN162" s="104"/>
      <c r="BO162" s="104"/>
      <c r="BP162" s="104"/>
      <c r="BQ162" s="104"/>
      <c r="BR162" s="104"/>
      <c r="BS162" s="104"/>
      <c r="BT162" s="104"/>
      <c r="BU162" s="104"/>
      <c r="BV162" s="104"/>
      <c r="BW162" s="104"/>
      <c r="BX162" s="147"/>
      <c r="BY162" s="146"/>
      <c r="BZ162" s="542">
        <v>80</v>
      </c>
      <c r="CA162" s="826"/>
      <c r="CB162" s="827"/>
      <c r="CD162" s="104"/>
      <c r="CE162" s="104"/>
      <c r="CF162" s="104"/>
      <c r="CG162" s="104"/>
      <c r="CH162" s="104"/>
      <c r="CI162" s="104"/>
      <c r="CJ162" s="104"/>
      <c r="CK162" s="104"/>
      <c r="CL162" s="104"/>
      <c r="CM162" s="104"/>
      <c r="CN162" s="104"/>
      <c r="CO162" s="104"/>
      <c r="CP162" s="104"/>
      <c r="CQ162" s="147"/>
    </row>
    <row r="163" spans="1:95">
      <c r="A163" s="146"/>
      <c r="B163" s="542">
        <v>81</v>
      </c>
      <c r="C163" s="826"/>
      <c r="D163" s="827"/>
      <c r="F163" s="104"/>
      <c r="G163" s="104"/>
      <c r="H163" s="104"/>
      <c r="I163" s="104"/>
      <c r="J163" s="104"/>
      <c r="K163" s="104"/>
      <c r="L163" s="104"/>
      <c r="M163" s="104"/>
      <c r="N163" s="104"/>
      <c r="O163" s="104"/>
      <c r="P163" s="104"/>
      <c r="Q163" s="104"/>
      <c r="R163" s="104"/>
      <c r="S163" s="147"/>
      <c r="T163" s="146"/>
      <c r="U163" s="542">
        <v>81</v>
      </c>
      <c r="V163" s="826"/>
      <c r="W163" s="827"/>
      <c r="Y163" s="104"/>
      <c r="Z163" s="104"/>
      <c r="AA163" s="104"/>
      <c r="AB163" s="104"/>
      <c r="AC163" s="104"/>
      <c r="AD163" s="104"/>
      <c r="AE163" s="104"/>
      <c r="AF163" s="104"/>
      <c r="AG163" s="104"/>
      <c r="AH163" s="104"/>
      <c r="AI163" s="104"/>
      <c r="AJ163" s="104"/>
      <c r="AK163" s="104"/>
      <c r="AL163" s="147"/>
      <c r="AM163" s="146"/>
      <c r="AN163" s="542">
        <v>81</v>
      </c>
      <c r="AO163" s="826"/>
      <c r="AP163" s="827"/>
      <c r="AR163" s="104"/>
      <c r="AS163" s="104"/>
      <c r="AT163" s="104"/>
      <c r="AU163" s="104"/>
      <c r="AV163" s="104"/>
      <c r="AW163" s="104"/>
      <c r="AX163" s="104"/>
      <c r="AY163" s="104"/>
      <c r="AZ163" s="104"/>
      <c r="BA163" s="104"/>
      <c r="BB163" s="104"/>
      <c r="BC163" s="104"/>
      <c r="BD163" s="104"/>
      <c r="BE163" s="147"/>
      <c r="BF163" s="146"/>
      <c r="BG163" s="542">
        <v>81</v>
      </c>
      <c r="BH163" s="826"/>
      <c r="BI163" s="827"/>
      <c r="BK163" s="104"/>
      <c r="BL163" s="104"/>
      <c r="BM163" s="104"/>
      <c r="BN163" s="104"/>
      <c r="BO163" s="104"/>
      <c r="BP163" s="104"/>
      <c r="BQ163" s="104"/>
      <c r="BR163" s="104"/>
      <c r="BS163" s="104"/>
      <c r="BT163" s="104"/>
      <c r="BU163" s="104"/>
      <c r="BV163" s="104"/>
      <c r="BW163" s="104"/>
      <c r="BX163" s="147"/>
      <c r="BY163" s="146"/>
      <c r="BZ163" s="542">
        <v>81</v>
      </c>
      <c r="CA163" s="826"/>
      <c r="CB163" s="827"/>
      <c r="CD163" s="104"/>
      <c r="CE163" s="104"/>
      <c r="CF163" s="104"/>
      <c r="CG163" s="104"/>
      <c r="CH163" s="104"/>
      <c r="CI163" s="104"/>
      <c r="CJ163" s="104"/>
      <c r="CK163" s="104"/>
      <c r="CL163" s="104"/>
      <c r="CM163" s="104"/>
      <c r="CN163" s="104"/>
      <c r="CO163" s="104"/>
      <c r="CP163" s="104"/>
      <c r="CQ163" s="147"/>
    </row>
    <row r="164" spans="1:95">
      <c r="A164" s="146"/>
      <c r="B164" s="542">
        <v>82</v>
      </c>
      <c r="C164" s="826"/>
      <c r="D164" s="827"/>
      <c r="F164" s="104"/>
      <c r="G164" s="104"/>
      <c r="H164" s="104"/>
      <c r="I164" s="104"/>
      <c r="J164" s="104"/>
      <c r="K164" s="104"/>
      <c r="L164" s="104"/>
      <c r="M164" s="104"/>
      <c r="N164" s="104"/>
      <c r="O164" s="104"/>
      <c r="P164" s="104"/>
      <c r="Q164" s="104"/>
      <c r="R164" s="104"/>
      <c r="S164" s="147"/>
      <c r="T164" s="146"/>
      <c r="U164" s="542">
        <v>82</v>
      </c>
      <c r="V164" s="826"/>
      <c r="W164" s="827"/>
      <c r="Y164" s="104"/>
      <c r="Z164" s="104"/>
      <c r="AA164" s="104"/>
      <c r="AB164" s="104"/>
      <c r="AC164" s="104"/>
      <c r="AD164" s="104"/>
      <c r="AE164" s="104"/>
      <c r="AF164" s="104"/>
      <c r="AG164" s="104"/>
      <c r="AH164" s="104"/>
      <c r="AI164" s="104"/>
      <c r="AJ164" s="104"/>
      <c r="AK164" s="104"/>
      <c r="AL164" s="147"/>
      <c r="AM164" s="146"/>
      <c r="AN164" s="542">
        <v>82</v>
      </c>
      <c r="AO164" s="826"/>
      <c r="AP164" s="827"/>
      <c r="AR164" s="104"/>
      <c r="AS164" s="104"/>
      <c r="AT164" s="104"/>
      <c r="AU164" s="104"/>
      <c r="AV164" s="104"/>
      <c r="AW164" s="104"/>
      <c r="AX164" s="104"/>
      <c r="AY164" s="104"/>
      <c r="AZ164" s="104"/>
      <c r="BA164" s="104"/>
      <c r="BB164" s="104"/>
      <c r="BC164" s="104"/>
      <c r="BD164" s="104"/>
      <c r="BE164" s="147"/>
      <c r="BF164" s="146"/>
      <c r="BG164" s="542">
        <v>82</v>
      </c>
      <c r="BH164" s="826"/>
      <c r="BI164" s="827"/>
      <c r="BK164" s="104"/>
      <c r="BL164" s="104"/>
      <c r="BM164" s="104"/>
      <c r="BN164" s="104"/>
      <c r="BO164" s="104"/>
      <c r="BP164" s="104"/>
      <c r="BQ164" s="104"/>
      <c r="BR164" s="104"/>
      <c r="BS164" s="104"/>
      <c r="BT164" s="104"/>
      <c r="BU164" s="104"/>
      <c r="BV164" s="104"/>
      <c r="BW164" s="104"/>
      <c r="BX164" s="147"/>
      <c r="BY164" s="146"/>
      <c r="BZ164" s="542">
        <v>82</v>
      </c>
      <c r="CA164" s="826"/>
      <c r="CB164" s="827"/>
      <c r="CD164" s="104"/>
      <c r="CE164" s="104"/>
      <c r="CF164" s="104"/>
      <c r="CG164" s="104"/>
      <c r="CH164" s="104"/>
      <c r="CI164" s="104"/>
      <c r="CJ164" s="104"/>
      <c r="CK164" s="104"/>
      <c r="CL164" s="104"/>
      <c r="CM164" s="104"/>
      <c r="CN164" s="104"/>
      <c r="CO164" s="104"/>
      <c r="CP164" s="104"/>
      <c r="CQ164" s="147"/>
    </row>
    <row r="165" spans="1:95">
      <c r="A165" s="146"/>
      <c r="B165" s="542">
        <v>83</v>
      </c>
      <c r="C165" s="826"/>
      <c r="D165" s="827"/>
      <c r="F165" s="104"/>
      <c r="G165" s="104"/>
      <c r="H165" s="104"/>
      <c r="I165" s="104"/>
      <c r="J165" s="104"/>
      <c r="K165" s="104"/>
      <c r="L165" s="104"/>
      <c r="M165" s="104"/>
      <c r="N165" s="104"/>
      <c r="O165" s="104"/>
      <c r="P165" s="104"/>
      <c r="Q165" s="104"/>
      <c r="R165" s="104"/>
      <c r="S165" s="147"/>
      <c r="T165" s="146"/>
      <c r="U165" s="542">
        <v>83</v>
      </c>
      <c r="V165" s="826"/>
      <c r="W165" s="827"/>
      <c r="Y165" s="104"/>
      <c r="Z165" s="104"/>
      <c r="AA165" s="104"/>
      <c r="AB165" s="104"/>
      <c r="AC165" s="104"/>
      <c r="AD165" s="104"/>
      <c r="AE165" s="104"/>
      <c r="AF165" s="104"/>
      <c r="AG165" s="104"/>
      <c r="AH165" s="104"/>
      <c r="AI165" s="104"/>
      <c r="AJ165" s="104"/>
      <c r="AK165" s="104"/>
      <c r="AL165" s="147"/>
      <c r="AM165" s="146"/>
      <c r="AN165" s="542">
        <v>83</v>
      </c>
      <c r="AO165" s="826"/>
      <c r="AP165" s="827"/>
      <c r="AR165" s="104"/>
      <c r="AS165" s="104"/>
      <c r="AT165" s="104"/>
      <c r="AU165" s="104"/>
      <c r="AV165" s="104"/>
      <c r="AW165" s="104"/>
      <c r="AX165" s="104"/>
      <c r="AY165" s="104"/>
      <c r="AZ165" s="104"/>
      <c r="BA165" s="104"/>
      <c r="BB165" s="104"/>
      <c r="BC165" s="104"/>
      <c r="BD165" s="104"/>
      <c r="BE165" s="147"/>
      <c r="BF165" s="146"/>
      <c r="BG165" s="542">
        <v>83</v>
      </c>
      <c r="BH165" s="826"/>
      <c r="BI165" s="827"/>
      <c r="BK165" s="104"/>
      <c r="BL165" s="104"/>
      <c r="BM165" s="104"/>
      <c r="BN165" s="104"/>
      <c r="BO165" s="104"/>
      <c r="BP165" s="104"/>
      <c r="BQ165" s="104"/>
      <c r="BR165" s="104"/>
      <c r="BS165" s="104"/>
      <c r="BT165" s="104"/>
      <c r="BU165" s="104"/>
      <c r="BV165" s="104"/>
      <c r="BW165" s="104"/>
      <c r="BX165" s="147"/>
      <c r="BY165" s="146"/>
      <c r="BZ165" s="542">
        <v>83</v>
      </c>
      <c r="CA165" s="826"/>
      <c r="CB165" s="827"/>
      <c r="CD165" s="104"/>
      <c r="CE165" s="104"/>
      <c r="CF165" s="104"/>
      <c r="CG165" s="104"/>
      <c r="CH165" s="104"/>
      <c r="CI165" s="104"/>
      <c r="CJ165" s="104"/>
      <c r="CK165" s="104"/>
      <c r="CL165" s="104"/>
      <c r="CM165" s="104"/>
      <c r="CN165" s="104"/>
      <c r="CO165" s="104"/>
      <c r="CP165" s="104"/>
      <c r="CQ165" s="147"/>
    </row>
    <row r="166" spans="1:95">
      <c r="A166" s="146"/>
      <c r="B166" s="542">
        <v>84</v>
      </c>
      <c r="C166" s="826"/>
      <c r="D166" s="827"/>
      <c r="F166" s="104"/>
      <c r="G166" s="104"/>
      <c r="H166" s="104"/>
      <c r="I166" s="104"/>
      <c r="J166" s="104"/>
      <c r="K166" s="104"/>
      <c r="L166" s="104"/>
      <c r="M166" s="104"/>
      <c r="N166" s="104"/>
      <c r="O166" s="104"/>
      <c r="P166" s="104"/>
      <c r="Q166" s="104"/>
      <c r="R166" s="104"/>
      <c r="S166" s="147"/>
      <c r="T166" s="146"/>
      <c r="U166" s="542">
        <v>84</v>
      </c>
      <c r="V166" s="826"/>
      <c r="W166" s="827"/>
      <c r="Y166" s="104"/>
      <c r="Z166" s="104"/>
      <c r="AA166" s="104"/>
      <c r="AB166" s="104"/>
      <c r="AC166" s="104"/>
      <c r="AD166" s="104"/>
      <c r="AE166" s="104"/>
      <c r="AF166" s="104"/>
      <c r="AG166" s="104"/>
      <c r="AH166" s="104"/>
      <c r="AI166" s="104"/>
      <c r="AJ166" s="104"/>
      <c r="AK166" s="104"/>
      <c r="AL166" s="147"/>
      <c r="AM166" s="146"/>
      <c r="AN166" s="542">
        <v>84</v>
      </c>
      <c r="AO166" s="826"/>
      <c r="AP166" s="827"/>
      <c r="AR166" s="104"/>
      <c r="AS166" s="104"/>
      <c r="AT166" s="104"/>
      <c r="AU166" s="104"/>
      <c r="AV166" s="104"/>
      <c r="AW166" s="104"/>
      <c r="AX166" s="104"/>
      <c r="AY166" s="104"/>
      <c r="AZ166" s="104"/>
      <c r="BA166" s="104"/>
      <c r="BB166" s="104"/>
      <c r="BC166" s="104"/>
      <c r="BD166" s="104"/>
      <c r="BE166" s="147"/>
      <c r="BF166" s="146"/>
      <c r="BG166" s="542">
        <v>84</v>
      </c>
      <c r="BH166" s="826"/>
      <c r="BI166" s="827"/>
      <c r="BK166" s="104"/>
      <c r="BL166" s="104"/>
      <c r="BM166" s="104"/>
      <c r="BN166" s="104"/>
      <c r="BO166" s="104"/>
      <c r="BP166" s="104"/>
      <c r="BQ166" s="104"/>
      <c r="BR166" s="104"/>
      <c r="BS166" s="104"/>
      <c r="BT166" s="104"/>
      <c r="BU166" s="104"/>
      <c r="BV166" s="104"/>
      <c r="BW166" s="104"/>
      <c r="BX166" s="147"/>
      <c r="BY166" s="146"/>
      <c r="BZ166" s="542">
        <v>84</v>
      </c>
      <c r="CA166" s="826"/>
      <c r="CB166" s="827"/>
      <c r="CD166" s="104"/>
      <c r="CE166" s="104"/>
      <c r="CF166" s="104"/>
      <c r="CG166" s="104"/>
      <c r="CH166" s="104"/>
      <c r="CI166" s="104"/>
      <c r="CJ166" s="104"/>
      <c r="CK166" s="104"/>
      <c r="CL166" s="104"/>
      <c r="CM166" s="104"/>
      <c r="CN166" s="104"/>
      <c r="CO166" s="104"/>
      <c r="CP166" s="104"/>
      <c r="CQ166" s="147"/>
    </row>
    <row r="167" spans="1:95">
      <c r="A167" s="146"/>
      <c r="B167" s="542">
        <v>85</v>
      </c>
      <c r="C167" s="826"/>
      <c r="D167" s="827"/>
      <c r="F167" s="104"/>
      <c r="G167" s="104"/>
      <c r="H167" s="104"/>
      <c r="I167" s="104"/>
      <c r="J167" s="104"/>
      <c r="K167" s="104"/>
      <c r="L167" s="104"/>
      <c r="M167" s="104"/>
      <c r="N167" s="104"/>
      <c r="O167" s="104"/>
      <c r="P167" s="104"/>
      <c r="Q167" s="104"/>
      <c r="R167" s="104"/>
      <c r="S167" s="147"/>
      <c r="T167" s="146"/>
      <c r="U167" s="542">
        <v>85</v>
      </c>
      <c r="V167" s="826"/>
      <c r="W167" s="827"/>
      <c r="Y167" s="104"/>
      <c r="Z167" s="104"/>
      <c r="AA167" s="104"/>
      <c r="AB167" s="104"/>
      <c r="AC167" s="104"/>
      <c r="AD167" s="104"/>
      <c r="AE167" s="104"/>
      <c r="AF167" s="104"/>
      <c r="AG167" s="104"/>
      <c r="AH167" s="104"/>
      <c r="AI167" s="104"/>
      <c r="AJ167" s="104"/>
      <c r="AK167" s="104"/>
      <c r="AL167" s="147"/>
      <c r="AM167" s="146"/>
      <c r="AN167" s="542">
        <v>85</v>
      </c>
      <c r="AO167" s="826"/>
      <c r="AP167" s="827"/>
      <c r="AR167" s="104"/>
      <c r="AS167" s="104"/>
      <c r="AT167" s="104"/>
      <c r="AU167" s="104"/>
      <c r="AV167" s="104"/>
      <c r="AW167" s="104"/>
      <c r="AX167" s="104"/>
      <c r="AY167" s="104"/>
      <c r="AZ167" s="104"/>
      <c r="BA167" s="104"/>
      <c r="BB167" s="104"/>
      <c r="BC167" s="104"/>
      <c r="BD167" s="104"/>
      <c r="BE167" s="147"/>
      <c r="BF167" s="146"/>
      <c r="BG167" s="542">
        <v>85</v>
      </c>
      <c r="BH167" s="826"/>
      <c r="BI167" s="827"/>
      <c r="BK167" s="104"/>
      <c r="BL167" s="104"/>
      <c r="BM167" s="104"/>
      <c r="BN167" s="104"/>
      <c r="BO167" s="104"/>
      <c r="BP167" s="104"/>
      <c r="BQ167" s="104"/>
      <c r="BR167" s="104"/>
      <c r="BS167" s="104"/>
      <c r="BT167" s="104"/>
      <c r="BU167" s="104"/>
      <c r="BV167" s="104"/>
      <c r="BW167" s="104"/>
      <c r="BX167" s="147"/>
      <c r="BY167" s="146"/>
      <c r="BZ167" s="542">
        <v>85</v>
      </c>
      <c r="CA167" s="826"/>
      <c r="CB167" s="827"/>
      <c r="CD167" s="104"/>
      <c r="CE167" s="104"/>
      <c r="CF167" s="104"/>
      <c r="CG167" s="104"/>
      <c r="CH167" s="104"/>
      <c r="CI167" s="104"/>
      <c r="CJ167" s="104"/>
      <c r="CK167" s="104"/>
      <c r="CL167" s="104"/>
      <c r="CM167" s="104"/>
      <c r="CN167" s="104"/>
      <c r="CO167" s="104"/>
      <c r="CP167" s="104"/>
      <c r="CQ167" s="147"/>
    </row>
    <row r="168" spans="1:95">
      <c r="A168" s="146"/>
      <c r="B168" s="542">
        <v>86</v>
      </c>
      <c r="C168" s="826"/>
      <c r="D168" s="827"/>
      <c r="F168" s="104"/>
      <c r="G168" s="104"/>
      <c r="H168" s="104"/>
      <c r="I168" s="104"/>
      <c r="J168" s="104"/>
      <c r="K168" s="104"/>
      <c r="L168" s="104"/>
      <c r="M168" s="104"/>
      <c r="N168" s="104"/>
      <c r="O168" s="104"/>
      <c r="P168" s="104"/>
      <c r="Q168" s="104"/>
      <c r="R168" s="104"/>
      <c r="S168" s="147"/>
      <c r="T168" s="146"/>
      <c r="U168" s="542">
        <v>86</v>
      </c>
      <c r="V168" s="826"/>
      <c r="W168" s="827"/>
      <c r="Y168" s="104"/>
      <c r="Z168" s="104"/>
      <c r="AA168" s="104"/>
      <c r="AB168" s="104"/>
      <c r="AC168" s="104"/>
      <c r="AD168" s="104"/>
      <c r="AE168" s="104"/>
      <c r="AF168" s="104"/>
      <c r="AG168" s="104"/>
      <c r="AH168" s="104"/>
      <c r="AI168" s="104"/>
      <c r="AJ168" s="104"/>
      <c r="AK168" s="104"/>
      <c r="AL168" s="147"/>
      <c r="AM168" s="146"/>
      <c r="AN168" s="542">
        <v>86</v>
      </c>
      <c r="AO168" s="826"/>
      <c r="AP168" s="827"/>
      <c r="AR168" s="104"/>
      <c r="AS168" s="104"/>
      <c r="AT168" s="104"/>
      <c r="AU168" s="104"/>
      <c r="AV168" s="104"/>
      <c r="AW168" s="104"/>
      <c r="AX168" s="104"/>
      <c r="AY168" s="104"/>
      <c r="AZ168" s="104"/>
      <c r="BA168" s="104"/>
      <c r="BB168" s="104"/>
      <c r="BC168" s="104"/>
      <c r="BD168" s="104"/>
      <c r="BE168" s="147"/>
      <c r="BF168" s="146"/>
      <c r="BG168" s="542">
        <v>86</v>
      </c>
      <c r="BH168" s="826"/>
      <c r="BI168" s="827"/>
      <c r="BK168" s="104"/>
      <c r="BL168" s="104"/>
      <c r="BM168" s="104"/>
      <c r="BN168" s="104"/>
      <c r="BO168" s="104"/>
      <c r="BP168" s="104"/>
      <c r="BQ168" s="104"/>
      <c r="BR168" s="104"/>
      <c r="BS168" s="104"/>
      <c r="BT168" s="104"/>
      <c r="BU168" s="104"/>
      <c r="BV168" s="104"/>
      <c r="BW168" s="104"/>
      <c r="BX168" s="147"/>
      <c r="BY168" s="146"/>
      <c r="BZ168" s="542">
        <v>86</v>
      </c>
      <c r="CA168" s="826"/>
      <c r="CB168" s="827"/>
      <c r="CD168" s="104"/>
      <c r="CE168" s="104"/>
      <c r="CF168" s="104"/>
      <c r="CG168" s="104"/>
      <c r="CH168" s="104"/>
      <c r="CI168" s="104"/>
      <c r="CJ168" s="104"/>
      <c r="CK168" s="104"/>
      <c r="CL168" s="104"/>
      <c r="CM168" s="104"/>
      <c r="CN168" s="104"/>
      <c r="CO168" s="104"/>
      <c r="CP168" s="104"/>
      <c r="CQ168" s="147"/>
    </row>
    <row r="169" spans="1:95">
      <c r="A169" s="146"/>
      <c r="B169" s="542">
        <v>87</v>
      </c>
      <c r="C169" s="826"/>
      <c r="D169" s="827"/>
      <c r="F169" s="104"/>
      <c r="G169" s="104"/>
      <c r="H169" s="104"/>
      <c r="I169" s="104"/>
      <c r="J169" s="104"/>
      <c r="K169" s="104"/>
      <c r="L169" s="104"/>
      <c r="M169" s="104"/>
      <c r="N169" s="104"/>
      <c r="O169" s="104"/>
      <c r="P169" s="104"/>
      <c r="Q169" s="104"/>
      <c r="R169" s="104"/>
      <c r="S169" s="147"/>
      <c r="T169" s="146"/>
      <c r="U169" s="542">
        <v>87</v>
      </c>
      <c r="V169" s="826"/>
      <c r="W169" s="827"/>
      <c r="Y169" s="104"/>
      <c r="Z169" s="104"/>
      <c r="AA169" s="104"/>
      <c r="AB169" s="104"/>
      <c r="AC169" s="104"/>
      <c r="AD169" s="104"/>
      <c r="AE169" s="104"/>
      <c r="AF169" s="104"/>
      <c r="AG169" s="104"/>
      <c r="AH169" s="104"/>
      <c r="AI169" s="104"/>
      <c r="AJ169" s="104"/>
      <c r="AK169" s="104"/>
      <c r="AL169" s="147"/>
      <c r="AM169" s="146"/>
      <c r="AN169" s="542">
        <v>87</v>
      </c>
      <c r="AO169" s="826"/>
      <c r="AP169" s="827"/>
      <c r="AR169" s="104"/>
      <c r="AS169" s="104"/>
      <c r="AT169" s="104"/>
      <c r="AU169" s="104"/>
      <c r="AV169" s="104"/>
      <c r="AW169" s="104"/>
      <c r="AX169" s="104"/>
      <c r="AY169" s="104"/>
      <c r="AZ169" s="104"/>
      <c r="BA169" s="104"/>
      <c r="BB169" s="104"/>
      <c r="BC169" s="104"/>
      <c r="BD169" s="104"/>
      <c r="BE169" s="147"/>
      <c r="BF169" s="146"/>
      <c r="BG169" s="542">
        <v>87</v>
      </c>
      <c r="BH169" s="826"/>
      <c r="BI169" s="827"/>
      <c r="BK169" s="104"/>
      <c r="BL169" s="104"/>
      <c r="BM169" s="104"/>
      <c r="BN169" s="104"/>
      <c r="BO169" s="104"/>
      <c r="BP169" s="104"/>
      <c r="BQ169" s="104"/>
      <c r="BR169" s="104"/>
      <c r="BS169" s="104"/>
      <c r="BT169" s="104"/>
      <c r="BU169" s="104"/>
      <c r="BV169" s="104"/>
      <c r="BW169" s="104"/>
      <c r="BX169" s="147"/>
      <c r="BY169" s="146"/>
      <c r="BZ169" s="542">
        <v>87</v>
      </c>
      <c r="CA169" s="826"/>
      <c r="CB169" s="827"/>
      <c r="CD169" s="104"/>
      <c r="CE169" s="104"/>
      <c r="CF169" s="104"/>
      <c r="CG169" s="104"/>
      <c r="CH169" s="104"/>
      <c r="CI169" s="104"/>
      <c r="CJ169" s="104"/>
      <c r="CK169" s="104"/>
      <c r="CL169" s="104"/>
      <c r="CM169" s="104"/>
      <c r="CN169" s="104"/>
      <c r="CO169" s="104"/>
      <c r="CP169" s="104"/>
      <c r="CQ169" s="147"/>
    </row>
    <row r="170" spans="1:95">
      <c r="A170" s="146"/>
      <c r="B170" s="542">
        <v>88</v>
      </c>
      <c r="C170" s="826"/>
      <c r="D170" s="827"/>
      <c r="F170" s="104"/>
      <c r="G170" s="104"/>
      <c r="H170" s="104"/>
      <c r="I170" s="104"/>
      <c r="J170" s="104"/>
      <c r="K170" s="104"/>
      <c r="L170" s="104"/>
      <c r="M170" s="104"/>
      <c r="N170" s="104"/>
      <c r="O170" s="104"/>
      <c r="P170" s="104"/>
      <c r="Q170" s="104"/>
      <c r="R170" s="104"/>
      <c r="S170" s="147"/>
      <c r="T170" s="146"/>
      <c r="U170" s="542">
        <v>88</v>
      </c>
      <c r="V170" s="826"/>
      <c r="W170" s="827"/>
      <c r="Y170" s="104"/>
      <c r="Z170" s="104"/>
      <c r="AA170" s="104"/>
      <c r="AB170" s="104"/>
      <c r="AC170" s="104"/>
      <c r="AD170" s="104"/>
      <c r="AE170" s="104"/>
      <c r="AF170" s="104"/>
      <c r="AG170" s="104"/>
      <c r="AH170" s="104"/>
      <c r="AI170" s="104"/>
      <c r="AJ170" s="104"/>
      <c r="AK170" s="104"/>
      <c r="AL170" s="147"/>
      <c r="AM170" s="146"/>
      <c r="AN170" s="542">
        <v>88</v>
      </c>
      <c r="AO170" s="826"/>
      <c r="AP170" s="827"/>
      <c r="AR170" s="104"/>
      <c r="AS170" s="104"/>
      <c r="AT170" s="104"/>
      <c r="AU170" s="104"/>
      <c r="AV170" s="104"/>
      <c r="AW170" s="104"/>
      <c r="AX170" s="104"/>
      <c r="AY170" s="104"/>
      <c r="AZ170" s="104"/>
      <c r="BA170" s="104"/>
      <c r="BB170" s="104"/>
      <c r="BC170" s="104"/>
      <c r="BD170" s="104"/>
      <c r="BE170" s="147"/>
      <c r="BF170" s="146"/>
      <c r="BG170" s="542">
        <v>88</v>
      </c>
      <c r="BH170" s="826"/>
      <c r="BI170" s="827"/>
      <c r="BK170" s="104"/>
      <c r="BL170" s="104"/>
      <c r="BM170" s="104"/>
      <c r="BN170" s="104"/>
      <c r="BO170" s="104"/>
      <c r="BP170" s="104"/>
      <c r="BQ170" s="104"/>
      <c r="BR170" s="104"/>
      <c r="BS170" s="104"/>
      <c r="BT170" s="104"/>
      <c r="BU170" s="104"/>
      <c r="BV170" s="104"/>
      <c r="BW170" s="104"/>
      <c r="BX170" s="147"/>
      <c r="BY170" s="146"/>
      <c r="BZ170" s="542">
        <v>88</v>
      </c>
      <c r="CA170" s="826"/>
      <c r="CB170" s="827"/>
      <c r="CD170" s="104"/>
      <c r="CE170" s="104"/>
      <c r="CF170" s="104"/>
      <c r="CG170" s="104"/>
      <c r="CH170" s="104"/>
      <c r="CI170" s="104"/>
      <c r="CJ170" s="104"/>
      <c r="CK170" s="104"/>
      <c r="CL170" s="104"/>
      <c r="CM170" s="104"/>
      <c r="CN170" s="104"/>
      <c r="CO170" s="104"/>
      <c r="CP170" s="104"/>
      <c r="CQ170" s="147"/>
    </row>
    <row r="171" spans="1:95">
      <c r="A171" s="146"/>
      <c r="B171" s="542">
        <v>89</v>
      </c>
      <c r="C171" s="826"/>
      <c r="D171" s="827"/>
      <c r="F171" s="104"/>
      <c r="G171" s="104"/>
      <c r="H171" s="104"/>
      <c r="I171" s="104"/>
      <c r="J171" s="104"/>
      <c r="K171" s="104"/>
      <c r="L171" s="104"/>
      <c r="M171" s="104"/>
      <c r="N171" s="104"/>
      <c r="O171" s="104"/>
      <c r="P171" s="104"/>
      <c r="Q171" s="104"/>
      <c r="R171" s="104"/>
      <c r="S171" s="147"/>
      <c r="T171" s="146"/>
      <c r="U171" s="542">
        <v>89</v>
      </c>
      <c r="V171" s="826"/>
      <c r="W171" s="827"/>
      <c r="Y171" s="104"/>
      <c r="Z171" s="104"/>
      <c r="AA171" s="104"/>
      <c r="AB171" s="104"/>
      <c r="AC171" s="104"/>
      <c r="AD171" s="104"/>
      <c r="AE171" s="104"/>
      <c r="AF171" s="104"/>
      <c r="AG171" s="104"/>
      <c r="AH171" s="104"/>
      <c r="AI171" s="104"/>
      <c r="AJ171" s="104"/>
      <c r="AK171" s="104"/>
      <c r="AL171" s="147"/>
      <c r="AM171" s="146"/>
      <c r="AN171" s="542">
        <v>89</v>
      </c>
      <c r="AO171" s="826"/>
      <c r="AP171" s="827"/>
      <c r="AR171" s="104"/>
      <c r="AS171" s="104"/>
      <c r="AT171" s="104"/>
      <c r="AU171" s="104"/>
      <c r="AV171" s="104"/>
      <c r="AW171" s="104"/>
      <c r="AX171" s="104"/>
      <c r="AY171" s="104"/>
      <c r="AZ171" s="104"/>
      <c r="BA171" s="104"/>
      <c r="BB171" s="104"/>
      <c r="BC171" s="104"/>
      <c r="BD171" s="104"/>
      <c r="BE171" s="147"/>
      <c r="BF171" s="146"/>
      <c r="BG171" s="542">
        <v>89</v>
      </c>
      <c r="BH171" s="826"/>
      <c r="BI171" s="827"/>
      <c r="BK171" s="104"/>
      <c r="BL171" s="104"/>
      <c r="BM171" s="104"/>
      <c r="BN171" s="104"/>
      <c r="BO171" s="104"/>
      <c r="BP171" s="104"/>
      <c r="BQ171" s="104"/>
      <c r="BR171" s="104"/>
      <c r="BS171" s="104"/>
      <c r="BT171" s="104"/>
      <c r="BU171" s="104"/>
      <c r="BV171" s="104"/>
      <c r="BW171" s="104"/>
      <c r="BX171" s="147"/>
      <c r="BY171" s="146"/>
      <c r="BZ171" s="542">
        <v>89</v>
      </c>
      <c r="CA171" s="826"/>
      <c r="CB171" s="827"/>
      <c r="CD171" s="104"/>
      <c r="CE171" s="104"/>
      <c r="CF171" s="104"/>
      <c r="CG171" s="104"/>
      <c r="CH171" s="104"/>
      <c r="CI171" s="104"/>
      <c r="CJ171" s="104"/>
      <c r="CK171" s="104"/>
      <c r="CL171" s="104"/>
      <c r="CM171" s="104"/>
      <c r="CN171" s="104"/>
      <c r="CO171" s="104"/>
      <c r="CP171" s="104"/>
      <c r="CQ171" s="147"/>
    </row>
    <row r="172" spans="1:95">
      <c r="A172" s="146"/>
      <c r="B172" s="542">
        <v>90</v>
      </c>
      <c r="C172" s="826"/>
      <c r="D172" s="827"/>
      <c r="F172" s="104"/>
      <c r="G172" s="104"/>
      <c r="H172" s="104"/>
      <c r="I172" s="104"/>
      <c r="J172" s="104"/>
      <c r="K172" s="104"/>
      <c r="L172" s="104"/>
      <c r="M172" s="104"/>
      <c r="N172" s="104"/>
      <c r="O172" s="104"/>
      <c r="P172" s="104"/>
      <c r="Q172" s="104"/>
      <c r="R172" s="104"/>
      <c r="S172" s="147"/>
      <c r="T172" s="146"/>
      <c r="U172" s="542">
        <v>90</v>
      </c>
      <c r="V172" s="826"/>
      <c r="W172" s="827"/>
      <c r="Y172" s="104"/>
      <c r="Z172" s="104"/>
      <c r="AA172" s="104"/>
      <c r="AB172" s="104"/>
      <c r="AC172" s="104"/>
      <c r="AD172" s="104"/>
      <c r="AE172" s="104"/>
      <c r="AF172" s="104"/>
      <c r="AG172" s="104"/>
      <c r="AH172" s="104"/>
      <c r="AI172" s="104"/>
      <c r="AJ172" s="104"/>
      <c r="AK172" s="104"/>
      <c r="AL172" s="147"/>
      <c r="AM172" s="146"/>
      <c r="AN172" s="542">
        <v>90</v>
      </c>
      <c r="AO172" s="826"/>
      <c r="AP172" s="827"/>
      <c r="AR172" s="104"/>
      <c r="AS172" s="104"/>
      <c r="AT172" s="104"/>
      <c r="AU172" s="104"/>
      <c r="AV172" s="104"/>
      <c r="AW172" s="104"/>
      <c r="AX172" s="104"/>
      <c r="AY172" s="104"/>
      <c r="AZ172" s="104"/>
      <c r="BA172" s="104"/>
      <c r="BB172" s="104"/>
      <c r="BC172" s="104"/>
      <c r="BD172" s="104"/>
      <c r="BE172" s="147"/>
      <c r="BF172" s="146"/>
      <c r="BG172" s="542">
        <v>90</v>
      </c>
      <c r="BH172" s="826"/>
      <c r="BI172" s="827"/>
      <c r="BK172" s="104"/>
      <c r="BL172" s="104"/>
      <c r="BM172" s="104"/>
      <c r="BN172" s="104"/>
      <c r="BO172" s="104"/>
      <c r="BP172" s="104"/>
      <c r="BQ172" s="104"/>
      <c r="BR172" s="104"/>
      <c r="BS172" s="104"/>
      <c r="BT172" s="104"/>
      <c r="BU172" s="104"/>
      <c r="BV172" s="104"/>
      <c r="BW172" s="104"/>
      <c r="BX172" s="147"/>
      <c r="BY172" s="146"/>
      <c r="BZ172" s="542">
        <v>90</v>
      </c>
      <c r="CA172" s="826"/>
      <c r="CB172" s="827"/>
      <c r="CD172" s="104"/>
      <c r="CE172" s="104"/>
      <c r="CF172" s="104"/>
      <c r="CG172" s="104"/>
      <c r="CH172" s="104"/>
      <c r="CI172" s="104"/>
      <c r="CJ172" s="104"/>
      <c r="CK172" s="104"/>
      <c r="CL172" s="104"/>
      <c r="CM172" s="104"/>
      <c r="CN172" s="104"/>
      <c r="CO172" s="104"/>
      <c r="CP172" s="104"/>
      <c r="CQ172" s="147"/>
    </row>
    <row r="173" spans="1:95">
      <c r="A173" s="146"/>
      <c r="B173" s="542">
        <v>91</v>
      </c>
      <c r="C173" s="826"/>
      <c r="D173" s="827"/>
      <c r="F173" s="104"/>
      <c r="G173" s="104"/>
      <c r="H173" s="104"/>
      <c r="I173" s="104"/>
      <c r="J173" s="104"/>
      <c r="K173" s="104"/>
      <c r="L173" s="104"/>
      <c r="M173" s="104"/>
      <c r="N173" s="104"/>
      <c r="O173" s="104"/>
      <c r="P173" s="104"/>
      <c r="Q173" s="104"/>
      <c r="R173" s="104"/>
      <c r="S173" s="147"/>
      <c r="T173" s="146"/>
      <c r="U173" s="542">
        <v>91</v>
      </c>
      <c r="V173" s="826"/>
      <c r="W173" s="827"/>
      <c r="Y173" s="104"/>
      <c r="Z173" s="104"/>
      <c r="AA173" s="104"/>
      <c r="AB173" s="104"/>
      <c r="AC173" s="104"/>
      <c r="AD173" s="104"/>
      <c r="AE173" s="104"/>
      <c r="AF173" s="104"/>
      <c r="AG173" s="104"/>
      <c r="AH173" s="104"/>
      <c r="AI173" s="104"/>
      <c r="AJ173" s="104"/>
      <c r="AK173" s="104"/>
      <c r="AL173" s="147"/>
      <c r="AM173" s="146"/>
      <c r="AN173" s="542">
        <v>91</v>
      </c>
      <c r="AO173" s="826"/>
      <c r="AP173" s="827"/>
      <c r="AR173" s="104"/>
      <c r="AS173" s="104"/>
      <c r="AT173" s="104"/>
      <c r="AU173" s="104"/>
      <c r="AV173" s="104"/>
      <c r="AW173" s="104"/>
      <c r="AX173" s="104"/>
      <c r="AY173" s="104"/>
      <c r="AZ173" s="104"/>
      <c r="BA173" s="104"/>
      <c r="BB173" s="104"/>
      <c r="BC173" s="104"/>
      <c r="BD173" s="104"/>
      <c r="BE173" s="147"/>
      <c r="BF173" s="146"/>
      <c r="BG173" s="542">
        <v>91</v>
      </c>
      <c r="BH173" s="826"/>
      <c r="BI173" s="827"/>
      <c r="BK173" s="104"/>
      <c r="BL173" s="104"/>
      <c r="BM173" s="104"/>
      <c r="BN173" s="104"/>
      <c r="BO173" s="104"/>
      <c r="BP173" s="104"/>
      <c r="BQ173" s="104"/>
      <c r="BR173" s="104"/>
      <c r="BS173" s="104"/>
      <c r="BT173" s="104"/>
      <c r="BU173" s="104"/>
      <c r="BV173" s="104"/>
      <c r="BW173" s="104"/>
      <c r="BX173" s="147"/>
      <c r="BY173" s="146"/>
      <c r="BZ173" s="542">
        <v>91</v>
      </c>
      <c r="CA173" s="826"/>
      <c r="CB173" s="827"/>
      <c r="CD173" s="104"/>
      <c r="CE173" s="104"/>
      <c r="CF173" s="104"/>
      <c r="CG173" s="104"/>
      <c r="CH173" s="104"/>
      <c r="CI173" s="104"/>
      <c r="CJ173" s="104"/>
      <c r="CK173" s="104"/>
      <c r="CL173" s="104"/>
      <c r="CM173" s="104"/>
      <c r="CN173" s="104"/>
      <c r="CO173" s="104"/>
      <c r="CP173" s="104"/>
      <c r="CQ173" s="147"/>
    </row>
    <row r="174" spans="1:95">
      <c r="A174" s="146"/>
      <c r="B174" s="542">
        <v>92</v>
      </c>
      <c r="C174" s="826"/>
      <c r="D174" s="827"/>
      <c r="F174" s="104"/>
      <c r="G174" s="104"/>
      <c r="H174" s="104"/>
      <c r="I174" s="104"/>
      <c r="J174" s="104"/>
      <c r="K174" s="104"/>
      <c r="L174" s="104"/>
      <c r="M174" s="104"/>
      <c r="N174" s="104"/>
      <c r="O174" s="104"/>
      <c r="P174" s="104"/>
      <c r="Q174" s="104"/>
      <c r="R174" s="104"/>
      <c r="S174" s="147"/>
      <c r="T174" s="146"/>
      <c r="U174" s="542">
        <v>92</v>
      </c>
      <c r="V174" s="826"/>
      <c r="W174" s="827"/>
      <c r="Y174" s="104"/>
      <c r="Z174" s="104"/>
      <c r="AA174" s="104"/>
      <c r="AB174" s="104"/>
      <c r="AC174" s="104"/>
      <c r="AD174" s="104"/>
      <c r="AE174" s="104"/>
      <c r="AF174" s="104"/>
      <c r="AG174" s="104"/>
      <c r="AH174" s="104"/>
      <c r="AI174" s="104"/>
      <c r="AJ174" s="104"/>
      <c r="AK174" s="104"/>
      <c r="AL174" s="147"/>
      <c r="AM174" s="146"/>
      <c r="AN174" s="542">
        <v>92</v>
      </c>
      <c r="AO174" s="826"/>
      <c r="AP174" s="827"/>
      <c r="AR174" s="104"/>
      <c r="AS174" s="104"/>
      <c r="AT174" s="104"/>
      <c r="AU174" s="104"/>
      <c r="AV174" s="104"/>
      <c r="AW174" s="104"/>
      <c r="AX174" s="104"/>
      <c r="AY174" s="104"/>
      <c r="AZ174" s="104"/>
      <c r="BA174" s="104"/>
      <c r="BB174" s="104"/>
      <c r="BC174" s="104"/>
      <c r="BD174" s="104"/>
      <c r="BE174" s="147"/>
      <c r="BF174" s="146"/>
      <c r="BG174" s="542">
        <v>92</v>
      </c>
      <c r="BH174" s="826"/>
      <c r="BI174" s="827"/>
      <c r="BK174" s="104"/>
      <c r="BL174" s="104"/>
      <c r="BM174" s="104"/>
      <c r="BN174" s="104"/>
      <c r="BO174" s="104"/>
      <c r="BP174" s="104"/>
      <c r="BQ174" s="104"/>
      <c r="BR174" s="104"/>
      <c r="BS174" s="104"/>
      <c r="BT174" s="104"/>
      <c r="BU174" s="104"/>
      <c r="BV174" s="104"/>
      <c r="BW174" s="104"/>
      <c r="BX174" s="147"/>
      <c r="BY174" s="146"/>
      <c r="BZ174" s="542">
        <v>92</v>
      </c>
      <c r="CA174" s="826"/>
      <c r="CB174" s="827"/>
      <c r="CD174" s="104"/>
      <c r="CE174" s="104"/>
      <c r="CF174" s="104"/>
      <c r="CG174" s="104"/>
      <c r="CH174" s="104"/>
      <c r="CI174" s="104"/>
      <c r="CJ174" s="104"/>
      <c r="CK174" s="104"/>
      <c r="CL174" s="104"/>
      <c r="CM174" s="104"/>
      <c r="CN174" s="104"/>
      <c r="CO174" s="104"/>
      <c r="CP174" s="104"/>
      <c r="CQ174" s="147"/>
    </row>
    <row r="175" spans="1:95">
      <c r="A175" s="146"/>
      <c r="B175" s="542">
        <v>93</v>
      </c>
      <c r="C175" s="826"/>
      <c r="D175" s="827"/>
      <c r="F175" s="104"/>
      <c r="G175" s="104"/>
      <c r="H175" s="104"/>
      <c r="I175" s="104"/>
      <c r="J175" s="104"/>
      <c r="K175" s="104"/>
      <c r="L175" s="104"/>
      <c r="M175" s="104"/>
      <c r="N175" s="104"/>
      <c r="O175" s="104"/>
      <c r="P175" s="104"/>
      <c r="Q175" s="104"/>
      <c r="R175" s="104"/>
      <c r="S175" s="147"/>
      <c r="T175" s="146"/>
      <c r="U175" s="542">
        <v>93</v>
      </c>
      <c r="V175" s="826"/>
      <c r="W175" s="827"/>
      <c r="Y175" s="104"/>
      <c r="Z175" s="104"/>
      <c r="AA175" s="104"/>
      <c r="AB175" s="104"/>
      <c r="AC175" s="104"/>
      <c r="AD175" s="104"/>
      <c r="AE175" s="104"/>
      <c r="AF175" s="104"/>
      <c r="AG175" s="104"/>
      <c r="AH175" s="104"/>
      <c r="AI175" s="104"/>
      <c r="AJ175" s="104"/>
      <c r="AK175" s="104"/>
      <c r="AL175" s="147"/>
      <c r="AM175" s="146"/>
      <c r="AN175" s="542">
        <v>93</v>
      </c>
      <c r="AO175" s="826"/>
      <c r="AP175" s="827"/>
      <c r="AR175" s="104"/>
      <c r="AS175" s="104"/>
      <c r="AT175" s="104"/>
      <c r="AU175" s="104"/>
      <c r="AV175" s="104"/>
      <c r="AW175" s="104"/>
      <c r="AX175" s="104"/>
      <c r="AY175" s="104"/>
      <c r="AZ175" s="104"/>
      <c r="BA175" s="104"/>
      <c r="BB175" s="104"/>
      <c r="BC175" s="104"/>
      <c r="BD175" s="104"/>
      <c r="BE175" s="147"/>
      <c r="BF175" s="146"/>
      <c r="BG175" s="542">
        <v>93</v>
      </c>
      <c r="BH175" s="826"/>
      <c r="BI175" s="827"/>
      <c r="BK175" s="104"/>
      <c r="BL175" s="104"/>
      <c r="BM175" s="104"/>
      <c r="BN175" s="104"/>
      <c r="BO175" s="104"/>
      <c r="BP175" s="104"/>
      <c r="BQ175" s="104"/>
      <c r="BR175" s="104"/>
      <c r="BS175" s="104"/>
      <c r="BT175" s="104"/>
      <c r="BU175" s="104"/>
      <c r="BV175" s="104"/>
      <c r="BW175" s="104"/>
      <c r="BX175" s="147"/>
      <c r="BY175" s="146"/>
      <c r="BZ175" s="542">
        <v>93</v>
      </c>
      <c r="CA175" s="826"/>
      <c r="CB175" s="827"/>
      <c r="CD175" s="104"/>
      <c r="CE175" s="104"/>
      <c r="CF175" s="104"/>
      <c r="CG175" s="104"/>
      <c r="CH175" s="104"/>
      <c r="CI175" s="104"/>
      <c r="CJ175" s="104"/>
      <c r="CK175" s="104"/>
      <c r="CL175" s="104"/>
      <c r="CM175" s="104"/>
      <c r="CN175" s="104"/>
      <c r="CO175" s="104"/>
      <c r="CP175" s="104"/>
      <c r="CQ175" s="147"/>
    </row>
    <row r="176" spans="1:95">
      <c r="A176" s="146"/>
      <c r="B176" s="542">
        <v>94</v>
      </c>
      <c r="C176" s="826"/>
      <c r="D176" s="827"/>
      <c r="F176" s="104"/>
      <c r="G176" s="104"/>
      <c r="H176" s="104"/>
      <c r="I176" s="104"/>
      <c r="J176" s="104"/>
      <c r="K176" s="104"/>
      <c r="L176" s="104"/>
      <c r="M176" s="104"/>
      <c r="N176" s="104"/>
      <c r="O176" s="104"/>
      <c r="P176" s="104"/>
      <c r="Q176" s="104"/>
      <c r="R176" s="104"/>
      <c r="S176" s="147"/>
      <c r="T176" s="146"/>
      <c r="U176" s="542">
        <v>94</v>
      </c>
      <c r="V176" s="826"/>
      <c r="W176" s="827"/>
      <c r="Y176" s="104"/>
      <c r="Z176" s="104"/>
      <c r="AA176" s="104"/>
      <c r="AB176" s="104"/>
      <c r="AC176" s="104"/>
      <c r="AD176" s="104"/>
      <c r="AE176" s="104"/>
      <c r="AF176" s="104"/>
      <c r="AG176" s="104"/>
      <c r="AH176" s="104"/>
      <c r="AI176" s="104"/>
      <c r="AJ176" s="104"/>
      <c r="AK176" s="104"/>
      <c r="AL176" s="147"/>
      <c r="AM176" s="146"/>
      <c r="AN176" s="542">
        <v>94</v>
      </c>
      <c r="AO176" s="826"/>
      <c r="AP176" s="827"/>
      <c r="AR176" s="104"/>
      <c r="AS176" s="104"/>
      <c r="AT176" s="104"/>
      <c r="AU176" s="104"/>
      <c r="AV176" s="104"/>
      <c r="AW176" s="104"/>
      <c r="AX176" s="104"/>
      <c r="AY176" s="104"/>
      <c r="AZ176" s="104"/>
      <c r="BA176" s="104"/>
      <c r="BB176" s="104"/>
      <c r="BC176" s="104"/>
      <c r="BD176" s="104"/>
      <c r="BE176" s="147"/>
      <c r="BF176" s="146"/>
      <c r="BG176" s="542">
        <v>94</v>
      </c>
      <c r="BH176" s="826"/>
      <c r="BI176" s="827"/>
      <c r="BK176" s="104"/>
      <c r="BL176" s="104"/>
      <c r="BM176" s="104"/>
      <c r="BN176" s="104"/>
      <c r="BO176" s="104"/>
      <c r="BP176" s="104"/>
      <c r="BQ176" s="104"/>
      <c r="BR176" s="104"/>
      <c r="BS176" s="104"/>
      <c r="BT176" s="104"/>
      <c r="BU176" s="104"/>
      <c r="BV176" s="104"/>
      <c r="BW176" s="104"/>
      <c r="BX176" s="147"/>
      <c r="BY176" s="146"/>
      <c r="BZ176" s="542">
        <v>94</v>
      </c>
      <c r="CA176" s="826"/>
      <c r="CB176" s="827"/>
      <c r="CD176" s="104"/>
      <c r="CE176" s="104"/>
      <c r="CF176" s="104"/>
      <c r="CG176" s="104"/>
      <c r="CH176" s="104"/>
      <c r="CI176" s="104"/>
      <c r="CJ176" s="104"/>
      <c r="CK176" s="104"/>
      <c r="CL176" s="104"/>
      <c r="CM176" s="104"/>
      <c r="CN176" s="104"/>
      <c r="CO176" s="104"/>
      <c r="CP176" s="104"/>
      <c r="CQ176" s="147"/>
    </row>
    <row r="177" spans="1:95">
      <c r="A177" s="146"/>
      <c r="B177" s="542">
        <v>95</v>
      </c>
      <c r="C177" s="826"/>
      <c r="D177" s="827"/>
      <c r="F177" s="104"/>
      <c r="G177" s="104"/>
      <c r="H177" s="104"/>
      <c r="I177" s="104"/>
      <c r="J177" s="104"/>
      <c r="K177" s="104"/>
      <c r="L177" s="104"/>
      <c r="M177" s="104"/>
      <c r="N177" s="104"/>
      <c r="O177" s="104"/>
      <c r="P177" s="104"/>
      <c r="Q177" s="104"/>
      <c r="R177" s="104"/>
      <c r="S177" s="147"/>
      <c r="T177" s="146"/>
      <c r="U177" s="542">
        <v>95</v>
      </c>
      <c r="V177" s="826"/>
      <c r="W177" s="827"/>
      <c r="Y177" s="104"/>
      <c r="Z177" s="104"/>
      <c r="AA177" s="104"/>
      <c r="AB177" s="104"/>
      <c r="AC177" s="104"/>
      <c r="AD177" s="104"/>
      <c r="AE177" s="104"/>
      <c r="AF177" s="104"/>
      <c r="AG177" s="104"/>
      <c r="AH177" s="104"/>
      <c r="AI177" s="104"/>
      <c r="AJ177" s="104"/>
      <c r="AK177" s="104"/>
      <c r="AL177" s="147"/>
      <c r="AM177" s="146"/>
      <c r="AN177" s="542">
        <v>95</v>
      </c>
      <c r="AO177" s="826"/>
      <c r="AP177" s="827"/>
      <c r="AR177" s="104"/>
      <c r="AS177" s="104"/>
      <c r="AT177" s="104"/>
      <c r="AU177" s="104"/>
      <c r="AV177" s="104"/>
      <c r="AW177" s="104"/>
      <c r="AX177" s="104"/>
      <c r="AY177" s="104"/>
      <c r="AZ177" s="104"/>
      <c r="BA177" s="104"/>
      <c r="BB177" s="104"/>
      <c r="BC177" s="104"/>
      <c r="BD177" s="104"/>
      <c r="BE177" s="147"/>
      <c r="BF177" s="146"/>
      <c r="BG177" s="542">
        <v>95</v>
      </c>
      <c r="BH177" s="826"/>
      <c r="BI177" s="827"/>
      <c r="BK177" s="104"/>
      <c r="BL177" s="104"/>
      <c r="BM177" s="104"/>
      <c r="BN177" s="104"/>
      <c r="BO177" s="104"/>
      <c r="BP177" s="104"/>
      <c r="BQ177" s="104"/>
      <c r="BR177" s="104"/>
      <c r="BS177" s="104"/>
      <c r="BT177" s="104"/>
      <c r="BU177" s="104"/>
      <c r="BV177" s="104"/>
      <c r="BW177" s="104"/>
      <c r="BX177" s="147"/>
      <c r="BY177" s="146"/>
      <c r="BZ177" s="542">
        <v>95</v>
      </c>
      <c r="CA177" s="826"/>
      <c r="CB177" s="827"/>
      <c r="CD177" s="104"/>
      <c r="CE177" s="104"/>
      <c r="CF177" s="104"/>
      <c r="CG177" s="104"/>
      <c r="CH177" s="104"/>
      <c r="CI177" s="104"/>
      <c r="CJ177" s="104"/>
      <c r="CK177" s="104"/>
      <c r="CL177" s="104"/>
      <c r="CM177" s="104"/>
      <c r="CN177" s="104"/>
      <c r="CO177" s="104"/>
      <c r="CP177" s="104"/>
      <c r="CQ177" s="147"/>
    </row>
    <row r="178" spans="1:95">
      <c r="A178" s="146"/>
      <c r="B178" s="542">
        <v>96</v>
      </c>
      <c r="C178" s="826"/>
      <c r="D178" s="827"/>
      <c r="F178" s="104"/>
      <c r="G178" s="104"/>
      <c r="H178" s="104"/>
      <c r="I178" s="104"/>
      <c r="J178" s="104"/>
      <c r="K178" s="104"/>
      <c r="L178" s="104"/>
      <c r="M178" s="104"/>
      <c r="N178" s="104"/>
      <c r="O178" s="104"/>
      <c r="P178" s="104"/>
      <c r="Q178" s="104"/>
      <c r="R178" s="104"/>
      <c r="S178" s="147"/>
      <c r="T178" s="146"/>
      <c r="U178" s="542">
        <v>96</v>
      </c>
      <c r="V178" s="826"/>
      <c r="W178" s="827"/>
      <c r="Y178" s="104"/>
      <c r="Z178" s="104"/>
      <c r="AA178" s="104"/>
      <c r="AB178" s="104"/>
      <c r="AC178" s="104"/>
      <c r="AD178" s="104"/>
      <c r="AE178" s="104"/>
      <c r="AF178" s="104"/>
      <c r="AG178" s="104"/>
      <c r="AH178" s="104"/>
      <c r="AI178" s="104"/>
      <c r="AJ178" s="104"/>
      <c r="AK178" s="104"/>
      <c r="AL178" s="147"/>
      <c r="AM178" s="146"/>
      <c r="AN178" s="542">
        <v>96</v>
      </c>
      <c r="AO178" s="826"/>
      <c r="AP178" s="827"/>
      <c r="AR178" s="104"/>
      <c r="AS178" s="104"/>
      <c r="AT178" s="104"/>
      <c r="AU178" s="104"/>
      <c r="AV178" s="104"/>
      <c r="AW178" s="104"/>
      <c r="AX178" s="104"/>
      <c r="AY178" s="104"/>
      <c r="AZ178" s="104"/>
      <c r="BA178" s="104"/>
      <c r="BB178" s="104"/>
      <c r="BC178" s="104"/>
      <c r="BD178" s="104"/>
      <c r="BE178" s="147"/>
      <c r="BF178" s="146"/>
      <c r="BG178" s="542">
        <v>96</v>
      </c>
      <c r="BH178" s="826"/>
      <c r="BI178" s="827"/>
      <c r="BK178" s="104"/>
      <c r="BL178" s="104"/>
      <c r="BM178" s="104"/>
      <c r="BN178" s="104"/>
      <c r="BO178" s="104"/>
      <c r="BP178" s="104"/>
      <c r="BQ178" s="104"/>
      <c r="BR178" s="104"/>
      <c r="BS178" s="104"/>
      <c r="BT178" s="104"/>
      <c r="BU178" s="104"/>
      <c r="BV178" s="104"/>
      <c r="BW178" s="104"/>
      <c r="BX178" s="147"/>
      <c r="BY178" s="146"/>
      <c r="BZ178" s="542">
        <v>96</v>
      </c>
      <c r="CA178" s="826"/>
      <c r="CB178" s="827"/>
      <c r="CD178" s="104"/>
      <c r="CE178" s="104"/>
      <c r="CF178" s="104"/>
      <c r="CG178" s="104"/>
      <c r="CH178" s="104"/>
      <c r="CI178" s="104"/>
      <c r="CJ178" s="104"/>
      <c r="CK178" s="104"/>
      <c r="CL178" s="104"/>
      <c r="CM178" s="104"/>
      <c r="CN178" s="104"/>
      <c r="CO178" s="104"/>
      <c r="CP178" s="104"/>
      <c r="CQ178" s="147"/>
    </row>
    <row r="179" spans="1:95">
      <c r="A179" s="146"/>
      <c r="B179" s="542">
        <v>97</v>
      </c>
      <c r="C179" s="826"/>
      <c r="D179" s="827"/>
      <c r="F179" s="104"/>
      <c r="G179" s="104"/>
      <c r="H179" s="104"/>
      <c r="I179" s="104"/>
      <c r="J179" s="104"/>
      <c r="K179" s="104"/>
      <c r="L179" s="104"/>
      <c r="M179" s="104"/>
      <c r="N179" s="104"/>
      <c r="O179" s="104"/>
      <c r="P179" s="104"/>
      <c r="Q179" s="104"/>
      <c r="R179" s="104"/>
      <c r="S179" s="147"/>
      <c r="T179" s="146"/>
      <c r="U179" s="542">
        <v>97</v>
      </c>
      <c r="V179" s="826"/>
      <c r="W179" s="827"/>
      <c r="Y179" s="104"/>
      <c r="Z179" s="104"/>
      <c r="AA179" s="104"/>
      <c r="AB179" s="104"/>
      <c r="AC179" s="104"/>
      <c r="AD179" s="104"/>
      <c r="AE179" s="104"/>
      <c r="AF179" s="104"/>
      <c r="AG179" s="104"/>
      <c r="AH179" s="104"/>
      <c r="AI179" s="104"/>
      <c r="AJ179" s="104"/>
      <c r="AK179" s="104"/>
      <c r="AL179" s="147"/>
      <c r="AM179" s="146"/>
      <c r="AN179" s="542">
        <v>97</v>
      </c>
      <c r="AO179" s="826"/>
      <c r="AP179" s="827"/>
      <c r="AR179" s="104"/>
      <c r="AS179" s="104"/>
      <c r="AT179" s="104"/>
      <c r="AU179" s="104"/>
      <c r="AV179" s="104"/>
      <c r="AW179" s="104"/>
      <c r="AX179" s="104"/>
      <c r="AY179" s="104"/>
      <c r="AZ179" s="104"/>
      <c r="BA179" s="104"/>
      <c r="BB179" s="104"/>
      <c r="BC179" s="104"/>
      <c r="BD179" s="104"/>
      <c r="BE179" s="147"/>
      <c r="BF179" s="146"/>
      <c r="BG179" s="542">
        <v>97</v>
      </c>
      <c r="BH179" s="826"/>
      <c r="BI179" s="827"/>
      <c r="BK179" s="104"/>
      <c r="BL179" s="104"/>
      <c r="BM179" s="104"/>
      <c r="BN179" s="104"/>
      <c r="BO179" s="104"/>
      <c r="BP179" s="104"/>
      <c r="BQ179" s="104"/>
      <c r="BR179" s="104"/>
      <c r="BS179" s="104"/>
      <c r="BT179" s="104"/>
      <c r="BU179" s="104"/>
      <c r="BV179" s="104"/>
      <c r="BW179" s="104"/>
      <c r="BX179" s="147"/>
      <c r="BY179" s="146"/>
      <c r="BZ179" s="542">
        <v>97</v>
      </c>
      <c r="CA179" s="826"/>
      <c r="CB179" s="827"/>
      <c r="CD179" s="104"/>
      <c r="CE179" s="104"/>
      <c r="CF179" s="104"/>
      <c r="CG179" s="104"/>
      <c r="CH179" s="104"/>
      <c r="CI179" s="104"/>
      <c r="CJ179" s="104"/>
      <c r="CK179" s="104"/>
      <c r="CL179" s="104"/>
      <c r="CM179" s="104"/>
      <c r="CN179" s="104"/>
      <c r="CO179" s="104"/>
      <c r="CP179" s="104"/>
      <c r="CQ179" s="147"/>
    </row>
    <row r="180" spans="1:95">
      <c r="A180" s="146"/>
      <c r="B180" s="542">
        <v>98</v>
      </c>
      <c r="C180" s="826"/>
      <c r="D180" s="827"/>
      <c r="F180" s="104"/>
      <c r="G180" s="104"/>
      <c r="H180" s="104"/>
      <c r="I180" s="104"/>
      <c r="J180" s="104"/>
      <c r="K180" s="104"/>
      <c r="L180" s="104"/>
      <c r="M180" s="104"/>
      <c r="N180" s="104"/>
      <c r="O180" s="104"/>
      <c r="P180" s="104"/>
      <c r="Q180" s="104"/>
      <c r="R180" s="104"/>
      <c r="S180" s="147"/>
      <c r="T180" s="146"/>
      <c r="U180" s="542">
        <v>98</v>
      </c>
      <c r="V180" s="826"/>
      <c r="W180" s="827"/>
      <c r="Y180" s="104"/>
      <c r="Z180" s="104"/>
      <c r="AA180" s="104"/>
      <c r="AB180" s="104"/>
      <c r="AC180" s="104"/>
      <c r="AD180" s="104"/>
      <c r="AE180" s="104"/>
      <c r="AF180" s="104"/>
      <c r="AG180" s="104"/>
      <c r="AH180" s="104"/>
      <c r="AI180" s="104"/>
      <c r="AJ180" s="104"/>
      <c r="AK180" s="104"/>
      <c r="AL180" s="147"/>
      <c r="AM180" s="146"/>
      <c r="AN180" s="542">
        <v>98</v>
      </c>
      <c r="AO180" s="826"/>
      <c r="AP180" s="827"/>
      <c r="AR180" s="104"/>
      <c r="AS180" s="104"/>
      <c r="AT180" s="104"/>
      <c r="AU180" s="104"/>
      <c r="AV180" s="104"/>
      <c r="AW180" s="104"/>
      <c r="AX180" s="104"/>
      <c r="AY180" s="104"/>
      <c r="AZ180" s="104"/>
      <c r="BA180" s="104"/>
      <c r="BB180" s="104"/>
      <c r="BC180" s="104"/>
      <c r="BD180" s="104"/>
      <c r="BE180" s="147"/>
      <c r="BF180" s="146"/>
      <c r="BG180" s="542">
        <v>98</v>
      </c>
      <c r="BH180" s="826"/>
      <c r="BI180" s="827"/>
      <c r="BK180" s="104"/>
      <c r="BL180" s="104"/>
      <c r="BM180" s="104"/>
      <c r="BN180" s="104"/>
      <c r="BO180" s="104"/>
      <c r="BP180" s="104"/>
      <c r="BQ180" s="104"/>
      <c r="BR180" s="104"/>
      <c r="BS180" s="104"/>
      <c r="BT180" s="104"/>
      <c r="BU180" s="104"/>
      <c r="BV180" s="104"/>
      <c r="BW180" s="104"/>
      <c r="BX180" s="147"/>
      <c r="BY180" s="146"/>
      <c r="BZ180" s="542">
        <v>98</v>
      </c>
      <c r="CA180" s="826"/>
      <c r="CB180" s="827"/>
      <c r="CD180" s="104"/>
      <c r="CE180" s="104"/>
      <c r="CF180" s="104"/>
      <c r="CG180" s="104"/>
      <c r="CH180" s="104"/>
      <c r="CI180" s="104"/>
      <c r="CJ180" s="104"/>
      <c r="CK180" s="104"/>
      <c r="CL180" s="104"/>
      <c r="CM180" s="104"/>
      <c r="CN180" s="104"/>
      <c r="CO180" s="104"/>
      <c r="CP180" s="104"/>
      <c r="CQ180" s="147"/>
    </row>
    <row r="181" spans="1:95">
      <c r="A181" s="146"/>
      <c r="B181" s="542">
        <v>99</v>
      </c>
      <c r="C181" s="826"/>
      <c r="D181" s="827"/>
      <c r="F181" s="104"/>
      <c r="G181" s="104"/>
      <c r="H181" s="104"/>
      <c r="I181" s="104"/>
      <c r="J181" s="104"/>
      <c r="K181" s="104"/>
      <c r="L181" s="104"/>
      <c r="M181" s="104"/>
      <c r="N181" s="104"/>
      <c r="O181" s="104"/>
      <c r="P181" s="104"/>
      <c r="Q181" s="104"/>
      <c r="R181" s="104"/>
      <c r="S181" s="147"/>
      <c r="T181" s="146"/>
      <c r="U181" s="542">
        <v>99</v>
      </c>
      <c r="V181" s="826"/>
      <c r="W181" s="827"/>
      <c r="Y181" s="104"/>
      <c r="Z181" s="104"/>
      <c r="AA181" s="104"/>
      <c r="AB181" s="104"/>
      <c r="AC181" s="104"/>
      <c r="AD181" s="104"/>
      <c r="AE181" s="104"/>
      <c r="AF181" s="104"/>
      <c r="AG181" s="104"/>
      <c r="AH181" s="104"/>
      <c r="AI181" s="104"/>
      <c r="AJ181" s="104"/>
      <c r="AK181" s="104"/>
      <c r="AL181" s="147"/>
      <c r="AM181" s="146"/>
      <c r="AN181" s="542">
        <v>99</v>
      </c>
      <c r="AO181" s="826"/>
      <c r="AP181" s="827"/>
      <c r="AR181" s="104"/>
      <c r="AS181" s="104"/>
      <c r="AT181" s="104"/>
      <c r="AU181" s="104"/>
      <c r="AV181" s="104"/>
      <c r="AW181" s="104"/>
      <c r="AX181" s="104"/>
      <c r="AY181" s="104"/>
      <c r="AZ181" s="104"/>
      <c r="BA181" s="104"/>
      <c r="BB181" s="104"/>
      <c r="BC181" s="104"/>
      <c r="BD181" s="104"/>
      <c r="BE181" s="147"/>
      <c r="BF181" s="146"/>
      <c r="BG181" s="542">
        <v>99</v>
      </c>
      <c r="BH181" s="826"/>
      <c r="BI181" s="827"/>
      <c r="BK181" s="104"/>
      <c r="BL181" s="104"/>
      <c r="BM181" s="104"/>
      <c r="BN181" s="104"/>
      <c r="BO181" s="104"/>
      <c r="BP181" s="104"/>
      <c r="BQ181" s="104"/>
      <c r="BR181" s="104"/>
      <c r="BS181" s="104"/>
      <c r="BT181" s="104"/>
      <c r="BU181" s="104"/>
      <c r="BV181" s="104"/>
      <c r="BW181" s="104"/>
      <c r="BX181" s="147"/>
      <c r="BY181" s="146"/>
      <c r="BZ181" s="542">
        <v>99</v>
      </c>
      <c r="CA181" s="826"/>
      <c r="CB181" s="827"/>
      <c r="CD181" s="104"/>
      <c r="CE181" s="104"/>
      <c r="CF181" s="104"/>
      <c r="CG181" s="104"/>
      <c r="CH181" s="104"/>
      <c r="CI181" s="104"/>
      <c r="CJ181" s="104"/>
      <c r="CK181" s="104"/>
      <c r="CL181" s="104"/>
      <c r="CM181" s="104"/>
      <c r="CN181" s="104"/>
      <c r="CO181" s="104"/>
      <c r="CP181" s="104"/>
      <c r="CQ181" s="147"/>
    </row>
    <row r="182" spans="1:95">
      <c r="A182" s="146"/>
      <c r="B182" s="542">
        <v>100</v>
      </c>
      <c r="C182" s="826"/>
      <c r="D182" s="827"/>
      <c r="F182" s="104"/>
      <c r="G182" s="104"/>
      <c r="H182" s="104"/>
      <c r="I182" s="104"/>
      <c r="J182" s="104"/>
      <c r="K182" s="104"/>
      <c r="L182" s="104"/>
      <c r="M182" s="104"/>
      <c r="N182" s="104"/>
      <c r="O182" s="104"/>
      <c r="P182" s="104"/>
      <c r="Q182" s="104"/>
      <c r="R182" s="104"/>
      <c r="S182" s="147"/>
      <c r="T182" s="146"/>
      <c r="U182" s="542">
        <v>100</v>
      </c>
      <c r="V182" s="826"/>
      <c r="W182" s="827"/>
      <c r="Y182" s="104"/>
      <c r="Z182" s="104"/>
      <c r="AA182" s="104"/>
      <c r="AB182" s="104"/>
      <c r="AC182" s="104"/>
      <c r="AD182" s="104"/>
      <c r="AE182" s="104"/>
      <c r="AF182" s="104"/>
      <c r="AG182" s="104"/>
      <c r="AH182" s="104"/>
      <c r="AI182" s="104"/>
      <c r="AJ182" s="104"/>
      <c r="AK182" s="104"/>
      <c r="AL182" s="147"/>
      <c r="AM182" s="146"/>
      <c r="AN182" s="542">
        <v>100</v>
      </c>
      <c r="AO182" s="826"/>
      <c r="AP182" s="827"/>
      <c r="AR182" s="104"/>
      <c r="AS182" s="104"/>
      <c r="AT182" s="104"/>
      <c r="AU182" s="104"/>
      <c r="AV182" s="104"/>
      <c r="AW182" s="104"/>
      <c r="AX182" s="104"/>
      <c r="AY182" s="104"/>
      <c r="AZ182" s="104"/>
      <c r="BA182" s="104"/>
      <c r="BB182" s="104"/>
      <c r="BC182" s="104"/>
      <c r="BD182" s="104"/>
      <c r="BE182" s="147"/>
      <c r="BF182" s="146"/>
      <c r="BG182" s="542">
        <v>100</v>
      </c>
      <c r="BH182" s="826"/>
      <c r="BI182" s="827"/>
      <c r="BK182" s="104"/>
      <c r="BL182" s="104"/>
      <c r="BM182" s="104"/>
      <c r="BN182" s="104"/>
      <c r="BO182" s="104"/>
      <c r="BP182" s="104"/>
      <c r="BQ182" s="104"/>
      <c r="BR182" s="104"/>
      <c r="BS182" s="104"/>
      <c r="BT182" s="104"/>
      <c r="BU182" s="104"/>
      <c r="BV182" s="104"/>
      <c r="BW182" s="104"/>
      <c r="BX182" s="147"/>
      <c r="BY182" s="146"/>
      <c r="BZ182" s="542">
        <v>100</v>
      </c>
      <c r="CA182" s="826"/>
      <c r="CB182" s="827"/>
      <c r="CD182" s="104"/>
      <c r="CE182" s="104"/>
      <c r="CF182" s="104"/>
      <c r="CG182" s="104"/>
      <c r="CH182" s="104"/>
      <c r="CI182" s="104"/>
      <c r="CJ182" s="104"/>
      <c r="CK182" s="104"/>
      <c r="CL182" s="104"/>
      <c r="CM182" s="104"/>
      <c r="CN182" s="104"/>
      <c r="CO182" s="104"/>
      <c r="CP182" s="104"/>
      <c r="CQ182" s="147"/>
    </row>
    <row r="183" spans="1:95">
      <c r="A183" s="146"/>
      <c r="B183" s="542">
        <v>101</v>
      </c>
      <c r="C183" s="826"/>
      <c r="D183" s="827"/>
      <c r="F183" s="104"/>
      <c r="G183" s="104"/>
      <c r="H183" s="104"/>
      <c r="I183" s="104"/>
      <c r="J183" s="104"/>
      <c r="K183" s="104"/>
      <c r="L183" s="104"/>
      <c r="M183" s="104"/>
      <c r="N183" s="104"/>
      <c r="O183" s="104"/>
      <c r="P183" s="104"/>
      <c r="Q183" s="104"/>
      <c r="R183" s="104"/>
      <c r="S183" s="147"/>
      <c r="T183" s="146"/>
      <c r="U183" s="542">
        <v>101</v>
      </c>
      <c r="V183" s="826"/>
      <c r="W183" s="827"/>
      <c r="Y183" s="104"/>
      <c r="Z183" s="104"/>
      <c r="AA183" s="104"/>
      <c r="AB183" s="104"/>
      <c r="AC183" s="104"/>
      <c r="AD183" s="104"/>
      <c r="AE183" s="104"/>
      <c r="AF183" s="104"/>
      <c r="AG183" s="104"/>
      <c r="AH183" s="104"/>
      <c r="AI183" s="104"/>
      <c r="AJ183" s="104"/>
      <c r="AK183" s="104"/>
      <c r="AL183" s="147"/>
      <c r="AM183" s="146"/>
      <c r="AN183" s="542">
        <v>101</v>
      </c>
      <c r="AO183" s="826"/>
      <c r="AP183" s="827"/>
      <c r="AR183" s="104"/>
      <c r="AS183" s="104"/>
      <c r="AT183" s="104"/>
      <c r="AU183" s="104"/>
      <c r="AV183" s="104"/>
      <c r="AW183" s="104"/>
      <c r="AX183" s="104"/>
      <c r="AY183" s="104"/>
      <c r="AZ183" s="104"/>
      <c r="BA183" s="104"/>
      <c r="BB183" s="104"/>
      <c r="BC183" s="104"/>
      <c r="BD183" s="104"/>
      <c r="BE183" s="147"/>
      <c r="BF183" s="146"/>
      <c r="BG183" s="542">
        <v>101</v>
      </c>
      <c r="BH183" s="826"/>
      <c r="BI183" s="827"/>
      <c r="BK183" s="104"/>
      <c r="BL183" s="104"/>
      <c r="BM183" s="104"/>
      <c r="BN183" s="104"/>
      <c r="BO183" s="104"/>
      <c r="BP183" s="104"/>
      <c r="BQ183" s="104"/>
      <c r="BR183" s="104"/>
      <c r="BS183" s="104"/>
      <c r="BT183" s="104"/>
      <c r="BU183" s="104"/>
      <c r="BV183" s="104"/>
      <c r="BW183" s="104"/>
      <c r="BX183" s="147"/>
      <c r="BY183" s="146"/>
      <c r="BZ183" s="542">
        <v>101</v>
      </c>
      <c r="CA183" s="826"/>
      <c r="CB183" s="827"/>
      <c r="CD183" s="104"/>
      <c r="CE183" s="104"/>
      <c r="CF183" s="104"/>
      <c r="CG183" s="104"/>
      <c r="CH183" s="104"/>
      <c r="CI183" s="104"/>
      <c r="CJ183" s="104"/>
      <c r="CK183" s="104"/>
      <c r="CL183" s="104"/>
      <c r="CM183" s="104"/>
      <c r="CN183" s="104"/>
      <c r="CO183" s="104"/>
      <c r="CP183" s="104"/>
      <c r="CQ183" s="147"/>
    </row>
    <row r="184" spans="1:95">
      <c r="A184" s="146"/>
      <c r="B184" s="542">
        <v>102</v>
      </c>
      <c r="C184" s="826"/>
      <c r="D184" s="827"/>
      <c r="F184" s="104"/>
      <c r="G184" s="104"/>
      <c r="H184" s="104"/>
      <c r="I184" s="104"/>
      <c r="J184" s="104"/>
      <c r="K184" s="104"/>
      <c r="L184" s="104"/>
      <c r="M184" s="104"/>
      <c r="N184" s="104"/>
      <c r="O184" s="104"/>
      <c r="P184" s="104"/>
      <c r="Q184" s="104"/>
      <c r="R184" s="104"/>
      <c r="S184" s="147"/>
      <c r="T184" s="146"/>
      <c r="U184" s="542">
        <v>102</v>
      </c>
      <c r="V184" s="826"/>
      <c r="W184" s="827"/>
      <c r="Y184" s="104"/>
      <c r="Z184" s="104"/>
      <c r="AA184" s="104"/>
      <c r="AB184" s="104"/>
      <c r="AC184" s="104"/>
      <c r="AD184" s="104"/>
      <c r="AE184" s="104"/>
      <c r="AF184" s="104"/>
      <c r="AG184" s="104"/>
      <c r="AH184" s="104"/>
      <c r="AI184" s="104"/>
      <c r="AJ184" s="104"/>
      <c r="AK184" s="104"/>
      <c r="AL184" s="147"/>
      <c r="AM184" s="146"/>
      <c r="AN184" s="542">
        <v>102</v>
      </c>
      <c r="AO184" s="826"/>
      <c r="AP184" s="827"/>
      <c r="AR184" s="104"/>
      <c r="AS184" s="104"/>
      <c r="AT184" s="104"/>
      <c r="AU184" s="104"/>
      <c r="AV184" s="104"/>
      <c r="AW184" s="104"/>
      <c r="AX184" s="104"/>
      <c r="AY184" s="104"/>
      <c r="AZ184" s="104"/>
      <c r="BA184" s="104"/>
      <c r="BB184" s="104"/>
      <c r="BC184" s="104"/>
      <c r="BD184" s="104"/>
      <c r="BE184" s="147"/>
      <c r="BF184" s="146"/>
      <c r="BG184" s="542">
        <v>102</v>
      </c>
      <c r="BH184" s="826"/>
      <c r="BI184" s="827"/>
      <c r="BK184" s="104"/>
      <c r="BL184" s="104"/>
      <c r="BM184" s="104"/>
      <c r="BN184" s="104"/>
      <c r="BO184" s="104"/>
      <c r="BP184" s="104"/>
      <c r="BQ184" s="104"/>
      <c r="BR184" s="104"/>
      <c r="BS184" s="104"/>
      <c r="BT184" s="104"/>
      <c r="BU184" s="104"/>
      <c r="BV184" s="104"/>
      <c r="BW184" s="104"/>
      <c r="BX184" s="147"/>
      <c r="BY184" s="146"/>
      <c r="BZ184" s="542">
        <v>102</v>
      </c>
      <c r="CA184" s="826"/>
      <c r="CB184" s="827"/>
      <c r="CD184" s="104"/>
      <c r="CE184" s="104"/>
      <c r="CF184" s="104"/>
      <c r="CG184" s="104"/>
      <c r="CH184" s="104"/>
      <c r="CI184" s="104"/>
      <c r="CJ184" s="104"/>
      <c r="CK184" s="104"/>
      <c r="CL184" s="104"/>
      <c r="CM184" s="104"/>
      <c r="CN184" s="104"/>
      <c r="CO184" s="104"/>
      <c r="CP184" s="104"/>
      <c r="CQ184" s="147"/>
    </row>
    <row r="185" spans="1:95">
      <c r="A185" s="146"/>
      <c r="B185" s="542">
        <v>103</v>
      </c>
      <c r="C185" s="828"/>
      <c r="D185" s="829"/>
      <c r="F185" s="104"/>
      <c r="G185" s="104"/>
      <c r="H185" s="104"/>
      <c r="I185" s="104"/>
      <c r="J185" s="104"/>
      <c r="K185" s="104"/>
      <c r="L185" s="104"/>
      <c r="M185" s="104"/>
      <c r="N185" s="104"/>
      <c r="O185" s="104"/>
      <c r="P185" s="104"/>
      <c r="Q185" s="104"/>
      <c r="R185" s="104"/>
      <c r="S185" s="147"/>
      <c r="T185" s="146"/>
      <c r="U185" s="542">
        <v>103</v>
      </c>
      <c r="V185" s="828"/>
      <c r="W185" s="829"/>
      <c r="Y185" s="104"/>
      <c r="Z185" s="104"/>
      <c r="AA185" s="104"/>
      <c r="AB185" s="104"/>
      <c r="AC185" s="104"/>
      <c r="AD185" s="104"/>
      <c r="AE185" s="104"/>
      <c r="AF185" s="104"/>
      <c r="AG185" s="104"/>
      <c r="AH185" s="104"/>
      <c r="AI185" s="104"/>
      <c r="AJ185" s="104"/>
      <c r="AK185" s="104"/>
      <c r="AL185" s="147"/>
      <c r="AM185" s="146"/>
      <c r="AN185" s="542">
        <v>103</v>
      </c>
      <c r="AO185" s="828"/>
      <c r="AP185" s="829"/>
      <c r="AR185" s="104"/>
      <c r="AS185" s="104"/>
      <c r="AT185" s="104"/>
      <c r="AU185" s="104"/>
      <c r="AV185" s="104"/>
      <c r="AW185" s="104"/>
      <c r="AX185" s="104"/>
      <c r="AY185" s="104"/>
      <c r="AZ185" s="104"/>
      <c r="BA185" s="104"/>
      <c r="BB185" s="104"/>
      <c r="BC185" s="104"/>
      <c r="BD185" s="104"/>
      <c r="BE185" s="147"/>
      <c r="BF185" s="146"/>
      <c r="BG185" s="542">
        <v>103</v>
      </c>
      <c r="BH185" s="828"/>
      <c r="BI185" s="829"/>
      <c r="BK185" s="104"/>
      <c r="BL185" s="104"/>
      <c r="BM185" s="104"/>
      <c r="BN185" s="104"/>
      <c r="BO185" s="104"/>
      <c r="BP185" s="104"/>
      <c r="BQ185" s="104"/>
      <c r="BR185" s="104"/>
      <c r="BS185" s="104"/>
      <c r="BT185" s="104"/>
      <c r="BU185" s="104"/>
      <c r="BV185" s="104"/>
      <c r="BW185" s="104"/>
      <c r="BX185" s="147"/>
      <c r="BY185" s="146"/>
      <c r="BZ185" s="542">
        <v>103</v>
      </c>
      <c r="CA185" s="828"/>
      <c r="CB185" s="829"/>
      <c r="CD185" s="104"/>
      <c r="CE185" s="104"/>
      <c r="CF185" s="104"/>
      <c r="CG185" s="104"/>
      <c r="CH185" s="104"/>
      <c r="CI185" s="104"/>
      <c r="CJ185" s="104"/>
      <c r="CK185" s="104"/>
      <c r="CL185" s="104"/>
      <c r="CM185" s="104"/>
      <c r="CN185" s="104"/>
      <c r="CO185" s="104"/>
      <c r="CP185" s="104"/>
      <c r="CQ185" s="147"/>
    </row>
    <row r="186" spans="1:95">
      <c r="A186" s="146"/>
      <c r="B186" s="542">
        <v>104</v>
      </c>
      <c r="C186" s="828"/>
      <c r="D186" s="829"/>
      <c r="F186" s="104"/>
      <c r="G186" s="104"/>
      <c r="H186" s="104"/>
      <c r="I186" s="104"/>
      <c r="J186" s="104"/>
      <c r="K186" s="104"/>
      <c r="L186" s="104"/>
      <c r="M186" s="104"/>
      <c r="N186" s="104"/>
      <c r="O186" s="104"/>
      <c r="P186" s="104"/>
      <c r="Q186" s="104"/>
      <c r="R186" s="104"/>
      <c r="S186" s="147"/>
      <c r="T186" s="146"/>
      <c r="U186" s="542">
        <v>104</v>
      </c>
      <c r="V186" s="828"/>
      <c r="W186" s="829"/>
      <c r="Y186" s="104"/>
      <c r="Z186" s="104"/>
      <c r="AA186" s="104"/>
      <c r="AB186" s="104"/>
      <c r="AC186" s="104"/>
      <c r="AD186" s="104"/>
      <c r="AE186" s="104"/>
      <c r="AF186" s="104"/>
      <c r="AG186" s="104"/>
      <c r="AH186" s="104"/>
      <c r="AI186" s="104"/>
      <c r="AJ186" s="104"/>
      <c r="AK186" s="104"/>
      <c r="AL186" s="147"/>
      <c r="AM186" s="146"/>
      <c r="AN186" s="542">
        <v>104</v>
      </c>
      <c r="AO186" s="828"/>
      <c r="AP186" s="829"/>
      <c r="AR186" s="104"/>
      <c r="AS186" s="104"/>
      <c r="AT186" s="104"/>
      <c r="AU186" s="104"/>
      <c r="AV186" s="104"/>
      <c r="AW186" s="104"/>
      <c r="AX186" s="104"/>
      <c r="AY186" s="104"/>
      <c r="AZ186" s="104"/>
      <c r="BA186" s="104"/>
      <c r="BB186" s="104"/>
      <c r="BC186" s="104"/>
      <c r="BD186" s="104"/>
      <c r="BE186" s="147"/>
      <c r="BF186" s="146"/>
      <c r="BG186" s="542">
        <v>104</v>
      </c>
      <c r="BH186" s="828"/>
      <c r="BI186" s="829"/>
      <c r="BK186" s="104"/>
      <c r="BL186" s="104"/>
      <c r="BM186" s="104"/>
      <c r="BN186" s="104"/>
      <c r="BO186" s="104"/>
      <c r="BP186" s="104"/>
      <c r="BQ186" s="104"/>
      <c r="BR186" s="104"/>
      <c r="BS186" s="104"/>
      <c r="BT186" s="104"/>
      <c r="BU186" s="104"/>
      <c r="BV186" s="104"/>
      <c r="BW186" s="104"/>
      <c r="BX186" s="147"/>
      <c r="BY186" s="146"/>
      <c r="BZ186" s="542">
        <v>104</v>
      </c>
      <c r="CA186" s="828"/>
      <c r="CB186" s="829"/>
      <c r="CD186" s="104"/>
      <c r="CE186" s="104"/>
      <c r="CF186" s="104"/>
      <c r="CG186" s="104"/>
      <c r="CH186" s="104"/>
      <c r="CI186" s="104"/>
      <c r="CJ186" s="104"/>
      <c r="CK186" s="104"/>
      <c r="CL186" s="104"/>
      <c r="CM186" s="104"/>
      <c r="CN186" s="104"/>
      <c r="CO186" s="104"/>
      <c r="CP186" s="104"/>
      <c r="CQ186" s="147"/>
    </row>
    <row r="187" spans="1:95">
      <c r="A187" s="146"/>
      <c r="B187" s="542">
        <v>105</v>
      </c>
      <c r="C187" s="828"/>
      <c r="D187" s="829"/>
      <c r="F187" s="104"/>
      <c r="G187" s="104"/>
      <c r="H187" s="104"/>
      <c r="I187" s="104"/>
      <c r="J187" s="104"/>
      <c r="K187" s="104"/>
      <c r="L187" s="104"/>
      <c r="M187" s="104"/>
      <c r="N187" s="104"/>
      <c r="O187" s="104"/>
      <c r="P187" s="104"/>
      <c r="Q187" s="104"/>
      <c r="R187" s="104"/>
      <c r="S187" s="147"/>
      <c r="T187" s="146"/>
      <c r="U187" s="542">
        <v>105</v>
      </c>
      <c r="V187" s="828"/>
      <c r="W187" s="829"/>
      <c r="Y187" s="104"/>
      <c r="Z187" s="104"/>
      <c r="AA187" s="104"/>
      <c r="AB187" s="104"/>
      <c r="AC187" s="104"/>
      <c r="AD187" s="104"/>
      <c r="AE187" s="104"/>
      <c r="AF187" s="104"/>
      <c r="AG187" s="104"/>
      <c r="AH187" s="104"/>
      <c r="AI187" s="104"/>
      <c r="AJ187" s="104"/>
      <c r="AK187" s="104"/>
      <c r="AL187" s="147"/>
      <c r="AM187" s="146"/>
      <c r="AN187" s="542">
        <v>105</v>
      </c>
      <c r="AO187" s="828"/>
      <c r="AP187" s="829"/>
      <c r="AR187" s="104"/>
      <c r="AS187" s="104"/>
      <c r="AT187" s="104"/>
      <c r="AU187" s="104"/>
      <c r="AV187" s="104"/>
      <c r="AW187" s="104"/>
      <c r="AX187" s="104"/>
      <c r="AY187" s="104"/>
      <c r="AZ187" s="104"/>
      <c r="BA187" s="104"/>
      <c r="BB187" s="104"/>
      <c r="BC187" s="104"/>
      <c r="BD187" s="104"/>
      <c r="BE187" s="147"/>
      <c r="BF187" s="146"/>
      <c r="BG187" s="542">
        <v>105</v>
      </c>
      <c r="BH187" s="828"/>
      <c r="BI187" s="829"/>
      <c r="BK187" s="104"/>
      <c r="BL187" s="104"/>
      <c r="BM187" s="104"/>
      <c r="BN187" s="104"/>
      <c r="BO187" s="104"/>
      <c r="BP187" s="104"/>
      <c r="BQ187" s="104"/>
      <c r="BR187" s="104"/>
      <c r="BS187" s="104"/>
      <c r="BT187" s="104"/>
      <c r="BU187" s="104"/>
      <c r="BV187" s="104"/>
      <c r="BW187" s="104"/>
      <c r="BX187" s="147"/>
      <c r="BY187" s="146"/>
      <c r="BZ187" s="542">
        <v>105</v>
      </c>
      <c r="CA187" s="828"/>
      <c r="CB187" s="829"/>
      <c r="CD187" s="104"/>
      <c r="CE187" s="104"/>
      <c r="CF187" s="104"/>
      <c r="CG187" s="104"/>
      <c r="CH187" s="104"/>
      <c r="CI187" s="104"/>
      <c r="CJ187" s="104"/>
      <c r="CK187" s="104"/>
      <c r="CL187" s="104"/>
      <c r="CM187" s="104"/>
      <c r="CN187" s="104"/>
      <c r="CO187" s="104"/>
      <c r="CP187" s="104"/>
      <c r="CQ187" s="147"/>
    </row>
    <row r="188" spans="1:95">
      <c r="A188" s="146"/>
      <c r="B188" s="542">
        <v>106</v>
      </c>
      <c r="C188" s="828"/>
      <c r="D188" s="829"/>
      <c r="F188" s="104"/>
      <c r="G188" s="104"/>
      <c r="H188" s="104"/>
      <c r="I188" s="104"/>
      <c r="J188" s="104"/>
      <c r="K188" s="104"/>
      <c r="L188" s="104"/>
      <c r="M188" s="104"/>
      <c r="N188" s="104"/>
      <c r="O188" s="104"/>
      <c r="P188" s="104"/>
      <c r="Q188" s="104"/>
      <c r="R188" s="104"/>
      <c r="S188" s="147"/>
      <c r="T188" s="146"/>
      <c r="U188" s="542">
        <v>106</v>
      </c>
      <c r="V188" s="828"/>
      <c r="W188" s="829"/>
      <c r="Y188" s="104"/>
      <c r="Z188" s="104"/>
      <c r="AA188" s="104"/>
      <c r="AB188" s="104"/>
      <c r="AC188" s="104"/>
      <c r="AD188" s="104"/>
      <c r="AE188" s="104"/>
      <c r="AF188" s="104"/>
      <c r="AG188" s="104"/>
      <c r="AH188" s="104"/>
      <c r="AI188" s="104"/>
      <c r="AJ188" s="104"/>
      <c r="AK188" s="104"/>
      <c r="AL188" s="147"/>
      <c r="AM188" s="146"/>
      <c r="AN188" s="542">
        <v>106</v>
      </c>
      <c r="AO188" s="828"/>
      <c r="AP188" s="829"/>
      <c r="AR188" s="104"/>
      <c r="AS188" s="104"/>
      <c r="AT188" s="104"/>
      <c r="AU188" s="104"/>
      <c r="AV188" s="104"/>
      <c r="AW188" s="104"/>
      <c r="AX188" s="104"/>
      <c r="AY188" s="104"/>
      <c r="AZ188" s="104"/>
      <c r="BA188" s="104"/>
      <c r="BB188" s="104"/>
      <c r="BC188" s="104"/>
      <c r="BD188" s="104"/>
      <c r="BE188" s="147"/>
      <c r="BF188" s="146"/>
      <c r="BG188" s="542">
        <v>106</v>
      </c>
      <c r="BH188" s="828"/>
      <c r="BI188" s="829"/>
      <c r="BK188" s="104"/>
      <c r="BL188" s="104"/>
      <c r="BM188" s="104"/>
      <c r="BN188" s="104"/>
      <c r="BO188" s="104"/>
      <c r="BP188" s="104"/>
      <c r="BQ188" s="104"/>
      <c r="BR188" s="104"/>
      <c r="BS188" s="104"/>
      <c r="BT188" s="104"/>
      <c r="BU188" s="104"/>
      <c r="BV188" s="104"/>
      <c r="BW188" s="104"/>
      <c r="BX188" s="147"/>
      <c r="BY188" s="146"/>
      <c r="BZ188" s="542">
        <v>106</v>
      </c>
      <c r="CA188" s="828"/>
      <c r="CB188" s="829"/>
      <c r="CD188" s="104"/>
      <c r="CE188" s="104"/>
      <c r="CF188" s="104"/>
      <c r="CG188" s="104"/>
      <c r="CH188" s="104"/>
      <c r="CI188" s="104"/>
      <c r="CJ188" s="104"/>
      <c r="CK188" s="104"/>
      <c r="CL188" s="104"/>
      <c r="CM188" s="104"/>
      <c r="CN188" s="104"/>
      <c r="CO188" s="104"/>
      <c r="CP188" s="104"/>
      <c r="CQ188" s="147"/>
    </row>
    <row r="189" spans="1:95">
      <c r="A189" s="146"/>
      <c r="B189" s="542">
        <v>107</v>
      </c>
      <c r="C189" s="828"/>
      <c r="D189" s="829"/>
      <c r="F189" s="104"/>
      <c r="G189" s="104"/>
      <c r="H189" s="104"/>
      <c r="I189" s="104"/>
      <c r="J189" s="104"/>
      <c r="K189" s="104"/>
      <c r="L189" s="104"/>
      <c r="M189" s="104"/>
      <c r="N189" s="104"/>
      <c r="O189" s="104"/>
      <c r="P189" s="104"/>
      <c r="Q189" s="104"/>
      <c r="R189" s="104"/>
      <c r="S189" s="147"/>
      <c r="T189" s="146"/>
      <c r="U189" s="542">
        <v>107</v>
      </c>
      <c r="V189" s="828"/>
      <c r="W189" s="829"/>
      <c r="Y189" s="104"/>
      <c r="Z189" s="104"/>
      <c r="AA189" s="104"/>
      <c r="AB189" s="104"/>
      <c r="AC189" s="104"/>
      <c r="AD189" s="104"/>
      <c r="AE189" s="104"/>
      <c r="AF189" s="104"/>
      <c r="AG189" s="104"/>
      <c r="AH189" s="104"/>
      <c r="AI189" s="104"/>
      <c r="AJ189" s="104"/>
      <c r="AK189" s="104"/>
      <c r="AL189" s="147"/>
      <c r="AM189" s="146"/>
      <c r="AN189" s="542">
        <v>107</v>
      </c>
      <c r="AO189" s="828"/>
      <c r="AP189" s="829"/>
      <c r="AR189" s="104"/>
      <c r="AS189" s="104"/>
      <c r="AT189" s="104"/>
      <c r="AU189" s="104"/>
      <c r="AV189" s="104"/>
      <c r="AW189" s="104"/>
      <c r="AX189" s="104"/>
      <c r="AY189" s="104"/>
      <c r="AZ189" s="104"/>
      <c r="BA189" s="104"/>
      <c r="BB189" s="104"/>
      <c r="BC189" s="104"/>
      <c r="BD189" s="104"/>
      <c r="BE189" s="147"/>
      <c r="BF189" s="146"/>
      <c r="BG189" s="542">
        <v>107</v>
      </c>
      <c r="BH189" s="828"/>
      <c r="BI189" s="829"/>
      <c r="BK189" s="104"/>
      <c r="BL189" s="104"/>
      <c r="BM189" s="104"/>
      <c r="BN189" s="104"/>
      <c r="BO189" s="104"/>
      <c r="BP189" s="104"/>
      <c r="BQ189" s="104"/>
      <c r="BR189" s="104"/>
      <c r="BS189" s="104"/>
      <c r="BT189" s="104"/>
      <c r="BU189" s="104"/>
      <c r="BV189" s="104"/>
      <c r="BW189" s="104"/>
      <c r="BX189" s="147"/>
      <c r="BY189" s="146"/>
      <c r="BZ189" s="542">
        <v>107</v>
      </c>
      <c r="CA189" s="828"/>
      <c r="CB189" s="829"/>
      <c r="CD189" s="104"/>
      <c r="CE189" s="104"/>
      <c r="CF189" s="104"/>
      <c r="CG189" s="104"/>
      <c r="CH189" s="104"/>
      <c r="CI189" s="104"/>
      <c r="CJ189" s="104"/>
      <c r="CK189" s="104"/>
      <c r="CL189" s="104"/>
      <c r="CM189" s="104"/>
      <c r="CN189" s="104"/>
      <c r="CO189" s="104"/>
      <c r="CP189" s="104"/>
      <c r="CQ189" s="147"/>
    </row>
    <row r="190" spans="1:95">
      <c r="A190" s="146"/>
      <c r="B190" s="542">
        <v>108</v>
      </c>
      <c r="C190" s="828"/>
      <c r="D190" s="829"/>
      <c r="F190" s="104"/>
      <c r="G190" s="104"/>
      <c r="H190" s="104"/>
      <c r="I190" s="104"/>
      <c r="J190" s="104"/>
      <c r="K190" s="104"/>
      <c r="L190" s="104"/>
      <c r="M190" s="104"/>
      <c r="N190" s="104"/>
      <c r="O190" s="104"/>
      <c r="P190" s="104"/>
      <c r="Q190" s="104"/>
      <c r="R190" s="104"/>
      <c r="S190" s="147"/>
      <c r="T190" s="146"/>
      <c r="U190" s="542">
        <v>108</v>
      </c>
      <c r="V190" s="828"/>
      <c r="W190" s="829"/>
      <c r="Y190" s="104"/>
      <c r="Z190" s="104"/>
      <c r="AA190" s="104"/>
      <c r="AB190" s="104"/>
      <c r="AC190" s="104"/>
      <c r="AD190" s="104"/>
      <c r="AE190" s="104"/>
      <c r="AF190" s="104"/>
      <c r="AG190" s="104"/>
      <c r="AH190" s="104"/>
      <c r="AI190" s="104"/>
      <c r="AJ190" s="104"/>
      <c r="AK190" s="104"/>
      <c r="AL190" s="147"/>
      <c r="AM190" s="146"/>
      <c r="AN190" s="542">
        <v>108</v>
      </c>
      <c r="AO190" s="828"/>
      <c r="AP190" s="829"/>
      <c r="AR190" s="104"/>
      <c r="AS190" s="104"/>
      <c r="AT190" s="104"/>
      <c r="AU190" s="104"/>
      <c r="AV190" s="104"/>
      <c r="AW190" s="104"/>
      <c r="AX190" s="104"/>
      <c r="AY190" s="104"/>
      <c r="AZ190" s="104"/>
      <c r="BA190" s="104"/>
      <c r="BB190" s="104"/>
      <c r="BC190" s="104"/>
      <c r="BD190" s="104"/>
      <c r="BE190" s="147"/>
      <c r="BF190" s="146"/>
      <c r="BG190" s="542">
        <v>108</v>
      </c>
      <c r="BH190" s="828"/>
      <c r="BI190" s="829"/>
      <c r="BK190" s="104"/>
      <c r="BL190" s="104"/>
      <c r="BM190" s="104"/>
      <c r="BN190" s="104"/>
      <c r="BO190" s="104"/>
      <c r="BP190" s="104"/>
      <c r="BQ190" s="104"/>
      <c r="BR190" s="104"/>
      <c r="BS190" s="104"/>
      <c r="BT190" s="104"/>
      <c r="BU190" s="104"/>
      <c r="BV190" s="104"/>
      <c r="BW190" s="104"/>
      <c r="BX190" s="147"/>
      <c r="BY190" s="146"/>
      <c r="BZ190" s="542">
        <v>108</v>
      </c>
      <c r="CA190" s="828"/>
      <c r="CB190" s="829"/>
      <c r="CD190" s="104"/>
      <c r="CE190" s="104"/>
      <c r="CF190" s="104"/>
      <c r="CG190" s="104"/>
      <c r="CH190" s="104"/>
      <c r="CI190" s="104"/>
      <c r="CJ190" s="104"/>
      <c r="CK190" s="104"/>
      <c r="CL190" s="104"/>
      <c r="CM190" s="104"/>
      <c r="CN190" s="104"/>
      <c r="CO190" s="104"/>
      <c r="CP190" s="104"/>
      <c r="CQ190" s="147"/>
    </row>
    <row r="191" spans="1:95">
      <c r="A191" s="146"/>
      <c r="B191" s="542">
        <v>109</v>
      </c>
      <c r="C191" s="828"/>
      <c r="D191" s="829"/>
      <c r="F191" s="104"/>
      <c r="G191" s="104"/>
      <c r="H191" s="104"/>
      <c r="I191" s="104"/>
      <c r="J191" s="104"/>
      <c r="K191" s="104"/>
      <c r="L191" s="104"/>
      <c r="M191" s="104"/>
      <c r="N191" s="104"/>
      <c r="O191" s="104"/>
      <c r="P191" s="104"/>
      <c r="Q191" s="104"/>
      <c r="R191" s="104"/>
      <c r="S191" s="147"/>
      <c r="T191" s="146"/>
      <c r="U191" s="542">
        <v>109</v>
      </c>
      <c r="V191" s="828"/>
      <c r="W191" s="829"/>
      <c r="Y191" s="104"/>
      <c r="Z191" s="104"/>
      <c r="AA191" s="104"/>
      <c r="AB191" s="104"/>
      <c r="AC191" s="104"/>
      <c r="AD191" s="104"/>
      <c r="AE191" s="104"/>
      <c r="AF191" s="104"/>
      <c r="AG191" s="104"/>
      <c r="AH191" s="104"/>
      <c r="AI191" s="104"/>
      <c r="AJ191" s="104"/>
      <c r="AK191" s="104"/>
      <c r="AL191" s="147"/>
      <c r="AM191" s="146"/>
      <c r="AN191" s="542">
        <v>109</v>
      </c>
      <c r="AO191" s="828"/>
      <c r="AP191" s="829"/>
      <c r="AR191" s="104"/>
      <c r="AS191" s="104"/>
      <c r="AT191" s="104"/>
      <c r="AU191" s="104"/>
      <c r="AV191" s="104"/>
      <c r="AW191" s="104"/>
      <c r="AX191" s="104"/>
      <c r="AY191" s="104"/>
      <c r="AZ191" s="104"/>
      <c r="BA191" s="104"/>
      <c r="BB191" s="104"/>
      <c r="BC191" s="104"/>
      <c r="BD191" s="104"/>
      <c r="BE191" s="147"/>
      <c r="BF191" s="146"/>
      <c r="BG191" s="542">
        <v>109</v>
      </c>
      <c r="BH191" s="828"/>
      <c r="BI191" s="829"/>
      <c r="BK191" s="104"/>
      <c r="BL191" s="104"/>
      <c r="BM191" s="104"/>
      <c r="BN191" s="104"/>
      <c r="BO191" s="104"/>
      <c r="BP191" s="104"/>
      <c r="BQ191" s="104"/>
      <c r="BR191" s="104"/>
      <c r="BS191" s="104"/>
      <c r="BT191" s="104"/>
      <c r="BU191" s="104"/>
      <c r="BV191" s="104"/>
      <c r="BW191" s="104"/>
      <c r="BX191" s="147"/>
      <c r="BY191" s="146"/>
      <c r="BZ191" s="542">
        <v>109</v>
      </c>
      <c r="CA191" s="828"/>
      <c r="CB191" s="829"/>
      <c r="CD191" s="104"/>
      <c r="CE191" s="104"/>
      <c r="CF191" s="104"/>
      <c r="CG191" s="104"/>
      <c r="CH191" s="104"/>
      <c r="CI191" s="104"/>
      <c r="CJ191" s="104"/>
      <c r="CK191" s="104"/>
      <c r="CL191" s="104"/>
      <c r="CM191" s="104"/>
      <c r="CN191" s="104"/>
      <c r="CO191" s="104"/>
      <c r="CP191" s="104"/>
      <c r="CQ191" s="147"/>
    </row>
    <row r="192" spans="1:95">
      <c r="A192" s="146"/>
      <c r="B192" s="542">
        <v>110</v>
      </c>
      <c r="C192" s="828"/>
      <c r="D192" s="829"/>
      <c r="F192" s="104"/>
      <c r="G192" s="104"/>
      <c r="H192" s="104"/>
      <c r="I192" s="104"/>
      <c r="J192" s="104"/>
      <c r="K192" s="104"/>
      <c r="L192" s="104"/>
      <c r="M192" s="104"/>
      <c r="N192" s="104"/>
      <c r="O192" s="104"/>
      <c r="P192" s="104"/>
      <c r="Q192" s="104"/>
      <c r="R192" s="104"/>
      <c r="S192" s="147"/>
      <c r="T192" s="146"/>
      <c r="U192" s="542">
        <v>110</v>
      </c>
      <c r="V192" s="828"/>
      <c r="W192" s="829"/>
      <c r="Y192" s="104"/>
      <c r="Z192" s="104"/>
      <c r="AA192" s="104"/>
      <c r="AB192" s="104"/>
      <c r="AC192" s="104"/>
      <c r="AD192" s="104"/>
      <c r="AE192" s="104"/>
      <c r="AF192" s="104"/>
      <c r="AG192" s="104"/>
      <c r="AH192" s="104"/>
      <c r="AI192" s="104"/>
      <c r="AJ192" s="104"/>
      <c r="AK192" s="104"/>
      <c r="AL192" s="147"/>
      <c r="AM192" s="146"/>
      <c r="AN192" s="542">
        <v>110</v>
      </c>
      <c r="AO192" s="828"/>
      <c r="AP192" s="829"/>
      <c r="AR192" s="104"/>
      <c r="AS192" s="104"/>
      <c r="AT192" s="104"/>
      <c r="AU192" s="104"/>
      <c r="AV192" s="104"/>
      <c r="AW192" s="104"/>
      <c r="AX192" s="104"/>
      <c r="AY192" s="104"/>
      <c r="AZ192" s="104"/>
      <c r="BA192" s="104"/>
      <c r="BB192" s="104"/>
      <c r="BC192" s="104"/>
      <c r="BD192" s="104"/>
      <c r="BE192" s="147"/>
      <c r="BF192" s="146"/>
      <c r="BG192" s="542">
        <v>110</v>
      </c>
      <c r="BH192" s="828"/>
      <c r="BI192" s="829"/>
      <c r="BK192" s="104"/>
      <c r="BL192" s="104"/>
      <c r="BM192" s="104"/>
      <c r="BN192" s="104"/>
      <c r="BO192" s="104"/>
      <c r="BP192" s="104"/>
      <c r="BQ192" s="104"/>
      <c r="BR192" s="104"/>
      <c r="BS192" s="104"/>
      <c r="BT192" s="104"/>
      <c r="BU192" s="104"/>
      <c r="BV192" s="104"/>
      <c r="BW192" s="104"/>
      <c r="BX192" s="147"/>
      <c r="BY192" s="146"/>
      <c r="BZ192" s="542">
        <v>110</v>
      </c>
      <c r="CA192" s="828"/>
      <c r="CB192" s="829"/>
      <c r="CD192" s="104"/>
      <c r="CE192" s="104"/>
      <c r="CF192" s="104"/>
      <c r="CG192" s="104"/>
      <c r="CH192" s="104"/>
      <c r="CI192" s="104"/>
      <c r="CJ192" s="104"/>
      <c r="CK192" s="104"/>
      <c r="CL192" s="104"/>
      <c r="CM192" s="104"/>
      <c r="CN192" s="104"/>
      <c r="CO192" s="104"/>
      <c r="CP192" s="104"/>
      <c r="CQ192" s="147"/>
    </row>
    <row r="193" spans="1:95">
      <c r="A193" s="146"/>
      <c r="B193" s="542">
        <v>111</v>
      </c>
      <c r="C193" s="828"/>
      <c r="D193" s="829"/>
      <c r="F193" s="104"/>
      <c r="G193" s="104"/>
      <c r="H193" s="104"/>
      <c r="I193" s="104"/>
      <c r="J193" s="104"/>
      <c r="K193" s="104"/>
      <c r="L193" s="104"/>
      <c r="M193" s="104"/>
      <c r="N193" s="104"/>
      <c r="O193" s="104"/>
      <c r="P193" s="104"/>
      <c r="Q193" s="104"/>
      <c r="R193" s="104"/>
      <c r="S193" s="147"/>
      <c r="T193" s="146"/>
      <c r="U193" s="542">
        <v>111</v>
      </c>
      <c r="V193" s="828"/>
      <c r="W193" s="829"/>
      <c r="Y193" s="104"/>
      <c r="Z193" s="104"/>
      <c r="AA193" s="104"/>
      <c r="AB193" s="104"/>
      <c r="AC193" s="104"/>
      <c r="AD193" s="104"/>
      <c r="AE193" s="104"/>
      <c r="AF193" s="104"/>
      <c r="AG193" s="104"/>
      <c r="AH193" s="104"/>
      <c r="AI193" s="104"/>
      <c r="AJ193" s="104"/>
      <c r="AK193" s="104"/>
      <c r="AL193" s="147"/>
      <c r="AM193" s="146"/>
      <c r="AN193" s="542">
        <v>111</v>
      </c>
      <c r="AO193" s="828"/>
      <c r="AP193" s="829"/>
      <c r="AR193" s="104"/>
      <c r="AS193" s="104"/>
      <c r="AT193" s="104"/>
      <c r="AU193" s="104"/>
      <c r="AV193" s="104"/>
      <c r="AW193" s="104"/>
      <c r="AX193" s="104"/>
      <c r="AY193" s="104"/>
      <c r="AZ193" s="104"/>
      <c r="BA193" s="104"/>
      <c r="BB193" s="104"/>
      <c r="BC193" s="104"/>
      <c r="BD193" s="104"/>
      <c r="BE193" s="147"/>
      <c r="BF193" s="146"/>
      <c r="BG193" s="542">
        <v>111</v>
      </c>
      <c r="BH193" s="828"/>
      <c r="BI193" s="829"/>
      <c r="BK193" s="104"/>
      <c r="BL193" s="104"/>
      <c r="BM193" s="104"/>
      <c r="BN193" s="104"/>
      <c r="BO193" s="104"/>
      <c r="BP193" s="104"/>
      <c r="BQ193" s="104"/>
      <c r="BR193" s="104"/>
      <c r="BS193" s="104"/>
      <c r="BT193" s="104"/>
      <c r="BU193" s="104"/>
      <c r="BV193" s="104"/>
      <c r="BW193" s="104"/>
      <c r="BX193" s="147"/>
      <c r="BY193" s="146"/>
      <c r="BZ193" s="542">
        <v>111</v>
      </c>
      <c r="CA193" s="828"/>
      <c r="CB193" s="829"/>
      <c r="CD193" s="104"/>
      <c r="CE193" s="104"/>
      <c r="CF193" s="104"/>
      <c r="CG193" s="104"/>
      <c r="CH193" s="104"/>
      <c r="CI193" s="104"/>
      <c r="CJ193" s="104"/>
      <c r="CK193" s="104"/>
      <c r="CL193" s="104"/>
      <c r="CM193" s="104"/>
      <c r="CN193" s="104"/>
      <c r="CO193" s="104"/>
      <c r="CP193" s="104"/>
      <c r="CQ193" s="147"/>
    </row>
    <row r="194" spans="1:95">
      <c r="A194" s="146"/>
      <c r="B194" s="542">
        <v>112</v>
      </c>
      <c r="C194" s="828"/>
      <c r="D194" s="829"/>
      <c r="F194" s="104"/>
      <c r="G194" s="104"/>
      <c r="H194" s="104"/>
      <c r="I194" s="104"/>
      <c r="J194" s="104"/>
      <c r="K194" s="104"/>
      <c r="L194" s="104"/>
      <c r="M194" s="104"/>
      <c r="N194" s="104"/>
      <c r="O194" s="104"/>
      <c r="P194" s="104"/>
      <c r="Q194" s="104"/>
      <c r="R194" s="104"/>
      <c r="S194" s="147"/>
      <c r="T194" s="146"/>
      <c r="U194" s="542">
        <v>112</v>
      </c>
      <c r="V194" s="828"/>
      <c r="W194" s="829"/>
      <c r="Y194" s="104"/>
      <c r="Z194" s="104"/>
      <c r="AA194" s="104"/>
      <c r="AB194" s="104"/>
      <c r="AC194" s="104"/>
      <c r="AD194" s="104"/>
      <c r="AE194" s="104"/>
      <c r="AF194" s="104"/>
      <c r="AG194" s="104"/>
      <c r="AH194" s="104"/>
      <c r="AI194" s="104"/>
      <c r="AJ194" s="104"/>
      <c r="AK194" s="104"/>
      <c r="AL194" s="147"/>
      <c r="AM194" s="146"/>
      <c r="AN194" s="542">
        <v>112</v>
      </c>
      <c r="AO194" s="828"/>
      <c r="AP194" s="829"/>
      <c r="AR194" s="104"/>
      <c r="AS194" s="104"/>
      <c r="AT194" s="104"/>
      <c r="AU194" s="104"/>
      <c r="AV194" s="104"/>
      <c r="AW194" s="104"/>
      <c r="AX194" s="104"/>
      <c r="AY194" s="104"/>
      <c r="AZ194" s="104"/>
      <c r="BA194" s="104"/>
      <c r="BB194" s="104"/>
      <c r="BC194" s="104"/>
      <c r="BD194" s="104"/>
      <c r="BE194" s="147"/>
      <c r="BF194" s="146"/>
      <c r="BG194" s="542">
        <v>112</v>
      </c>
      <c r="BH194" s="828"/>
      <c r="BI194" s="829"/>
      <c r="BK194" s="104"/>
      <c r="BL194" s="104"/>
      <c r="BM194" s="104"/>
      <c r="BN194" s="104"/>
      <c r="BO194" s="104"/>
      <c r="BP194" s="104"/>
      <c r="BQ194" s="104"/>
      <c r="BR194" s="104"/>
      <c r="BS194" s="104"/>
      <c r="BT194" s="104"/>
      <c r="BU194" s="104"/>
      <c r="BV194" s="104"/>
      <c r="BW194" s="104"/>
      <c r="BX194" s="147"/>
      <c r="BY194" s="146"/>
      <c r="BZ194" s="542">
        <v>112</v>
      </c>
      <c r="CA194" s="828"/>
      <c r="CB194" s="829"/>
      <c r="CD194" s="104"/>
      <c r="CE194" s="104"/>
      <c r="CF194" s="104"/>
      <c r="CG194" s="104"/>
      <c r="CH194" s="104"/>
      <c r="CI194" s="104"/>
      <c r="CJ194" s="104"/>
      <c r="CK194" s="104"/>
      <c r="CL194" s="104"/>
      <c r="CM194" s="104"/>
      <c r="CN194" s="104"/>
      <c r="CO194" s="104"/>
      <c r="CP194" s="104"/>
      <c r="CQ194" s="147"/>
    </row>
    <row r="195" spans="1:95">
      <c r="A195" s="146"/>
      <c r="B195" s="542">
        <v>113</v>
      </c>
      <c r="C195" s="828"/>
      <c r="D195" s="829"/>
      <c r="F195" s="104"/>
      <c r="G195" s="104"/>
      <c r="H195" s="104"/>
      <c r="I195" s="104"/>
      <c r="J195" s="104"/>
      <c r="K195" s="104"/>
      <c r="L195" s="104"/>
      <c r="M195" s="104"/>
      <c r="N195" s="104"/>
      <c r="O195" s="104"/>
      <c r="P195" s="104"/>
      <c r="Q195" s="104"/>
      <c r="R195" s="104"/>
      <c r="S195" s="147"/>
      <c r="T195" s="146"/>
      <c r="U195" s="542">
        <v>113</v>
      </c>
      <c r="V195" s="828"/>
      <c r="W195" s="829"/>
      <c r="Y195" s="104"/>
      <c r="Z195" s="104"/>
      <c r="AA195" s="104"/>
      <c r="AB195" s="104"/>
      <c r="AC195" s="104"/>
      <c r="AD195" s="104"/>
      <c r="AE195" s="104"/>
      <c r="AF195" s="104"/>
      <c r="AG195" s="104"/>
      <c r="AH195" s="104"/>
      <c r="AI195" s="104"/>
      <c r="AJ195" s="104"/>
      <c r="AK195" s="104"/>
      <c r="AL195" s="147"/>
      <c r="AM195" s="146"/>
      <c r="AN195" s="542">
        <v>113</v>
      </c>
      <c r="AO195" s="828"/>
      <c r="AP195" s="829"/>
      <c r="AR195" s="104"/>
      <c r="AS195" s="104"/>
      <c r="AT195" s="104"/>
      <c r="AU195" s="104"/>
      <c r="AV195" s="104"/>
      <c r="AW195" s="104"/>
      <c r="AX195" s="104"/>
      <c r="AY195" s="104"/>
      <c r="AZ195" s="104"/>
      <c r="BA195" s="104"/>
      <c r="BB195" s="104"/>
      <c r="BC195" s="104"/>
      <c r="BD195" s="104"/>
      <c r="BE195" s="147"/>
      <c r="BF195" s="146"/>
      <c r="BG195" s="542">
        <v>113</v>
      </c>
      <c r="BH195" s="828"/>
      <c r="BI195" s="829"/>
      <c r="BK195" s="104"/>
      <c r="BL195" s="104"/>
      <c r="BM195" s="104"/>
      <c r="BN195" s="104"/>
      <c r="BO195" s="104"/>
      <c r="BP195" s="104"/>
      <c r="BQ195" s="104"/>
      <c r="BR195" s="104"/>
      <c r="BS195" s="104"/>
      <c r="BT195" s="104"/>
      <c r="BU195" s="104"/>
      <c r="BV195" s="104"/>
      <c r="BW195" s="104"/>
      <c r="BX195" s="147"/>
      <c r="BY195" s="146"/>
      <c r="BZ195" s="542">
        <v>113</v>
      </c>
      <c r="CA195" s="828"/>
      <c r="CB195" s="829"/>
      <c r="CD195" s="104"/>
      <c r="CE195" s="104"/>
      <c r="CF195" s="104"/>
      <c r="CG195" s="104"/>
      <c r="CH195" s="104"/>
      <c r="CI195" s="104"/>
      <c r="CJ195" s="104"/>
      <c r="CK195" s="104"/>
      <c r="CL195" s="104"/>
      <c r="CM195" s="104"/>
      <c r="CN195" s="104"/>
      <c r="CO195" s="104"/>
      <c r="CP195" s="104"/>
      <c r="CQ195" s="147"/>
    </row>
    <row r="196" spans="1:95">
      <c r="A196" s="146"/>
      <c r="B196" s="542">
        <v>114</v>
      </c>
      <c r="C196" s="828"/>
      <c r="D196" s="829"/>
      <c r="F196" s="104"/>
      <c r="G196" s="104"/>
      <c r="H196" s="104"/>
      <c r="I196" s="104"/>
      <c r="J196" s="104"/>
      <c r="K196" s="104"/>
      <c r="L196" s="104"/>
      <c r="M196" s="104"/>
      <c r="N196" s="104"/>
      <c r="O196" s="104"/>
      <c r="P196" s="104"/>
      <c r="Q196" s="104"/>
      <c r="R196" s="104"/>
      <c r="S196" s="147"/>
      <c r="T196" s="146"/>
      <c r="U196" s="542">
        <v>114</v>
      </c>
      <c r="V196" s="828"/>
      <c r="W196" s="829"/>
      <c r="Y196" s="104"/>
      <c r="Z196" s="104"/>
      <c r="AA196" s="104"/>
      <c r="AB196" s="104"/>
      <c r="AC196" s="104"/>
      <c r="AD196" s="104"/>
      <c r="AE196" s="104"/>
      <c r="AF196" s="104"/>
      <c r="AG196" s="104"/>
      <c r="AH196" s="104"/>
      <c r="AI196" s="104"/>
      <c r="AJ196" s="104"/>
      <c r="AK196" s="104"/>
      <c r="AL196" s="147"/>
      <c r="AM196" s="146"/>
      <c r="AN196" s="542">
        <v>114</v>
      </c>
      <c r="AO196" s="828"/>
      <c r="AP196" s="829"/>
      <c r="AR196" s="104"/>
      <c r="AS196" s="104"/>
      <c r="AT196" s="104"/>
      <c r="AU196" s="104"/>
      <c r="AV196" s="104"/>
      <c r="AW196" s="104"/>
      <c r="AX196" s="104"/>
      <c r="AY196" s="104"/>
      <c r="AZ196" s="104"/>
      <c r="BA196" s="104"/>
      <c r="BB196" s="104"/>
      <c r="BC196" s="104"/>
      <c r="BD196" s="104"/>
      <c r="BE196" s="147"/>
      <c r="BF196" s="146"/>
      <c r="BG196" s="542">
        <v>114</v>
      </c>
      <c r="BH196" s="828"/>
      <c r="BI196" s="829"/>
      <c r="BK196" s="104"/>
      <c r="BL196" s="104"/>
      <c r="BM196" s="104"/>
      <c r="BN196" s="104"/>
      <c r="BO196" s="104"/>
      <c r="BP196" s="104"/>
      <c r="BQ196" s="104"/>
      <c r="BR196" s="104"/>
      <c r="BS196" s="104"/>
      <c r="BT196" s="104"/>
      <c r="BU196" s="104"/>
      <c r="BV196" s="104"/>
      <c r="BW196" s="104"/>
      <c r="BX196" s="147"/>
      <c r="BY196" s="146"/>
      <c r="BZ196" s="542">
        <v>114</v>
      </c>
      <c r="CA196" s="828"/>
      <c r="CB196" s="829"/>
      <c r="CD196" s="104"/>
      <c r="CE196" s="104"/>
      <c r="CF196" s="104"/>
      <c r="CG196" s="104"/>
      <c r="CH196" s="104"/>
      <c r="CI196" s="104"/>
      <c r="CJ196" s="104"/>
      <c r="CK196" s="104"/>
      <c r="CL196" s="104"/>
      <c r="CM196" s="104"/>
      <c r="CN196" s="104"/>
      <c r="CO196" s="104"/>
      <c r="CP196" s="104"/>
      <c r="CQ196" s="147"/>
    </row>
    <row r="197" spans="1:95">
      <c r="A197" s="146"/>
      <c r="B197" s="542">
        <v>115</v>
      </c>
      <c r="C197" s="828"/>
      <c r="D197" s="829"/>
      <c r="F197" s="104"/>
      <c r="G197" s="104"/>
      <c r="H197" s="104"/>
      <c r="I197" s="104"/>
      <c r="J197" s="104"/>
      <c r="K197" s="104"/>
      <c r="L197" s="104"/>
      <c r="M197" s="104"/>
      <c r="N197" s="104"/>
      <c r="O197" s="104"/>
      <c r="P197" s="104"/>
      <c r="Q197" s="104"/>
      <c r="R197" s="104"/>
      <c r="S197" s="147"/>
      <c r="T197" s="146"/>
      <c r="U197" s="542">
        <v>115</v>
      </c>
      <c r="V197" s="828"/>
      <c r="W197" s="829"/>
      <c r="Y197" s="104"/>
      <c r="Z197" s="104"/>
      <c r="AA197" s="104"/>
      <c r="AB197" s="104"/>
      <c r="AC197" s="104"/>
      <c r="AD197" s="104"/>
      <c r="AE197" s="104"/>
      <c r="AF197" s="104"/>
      <c r="AG197" s="104"/>
      <c r="AH197" s="104"/>
      <c r="AI197" s="104"/>
      <c r="AJ197" s="104"/>
      <c r="AK197" s="104"/>
      <c r="AL197" s="147"/>
      <c r="AM197" s="146"/>
      <c r="AN197" s="542">
        <v>115</v>
      </c>
      <c r="AO197" s="828"/>
      <c r="AP197" s="829"/>
      <c r="AR197" s="104"/>
      <c r="AS197" s="104"/>
      <c r="AT197" s="104"/>
      <c r="AU197" s="104"/>
      <c r="AV197" s="104"/>
      <c r="AW197" s="104"/>
      <c r="AX197" s="104"/>
      <c r="AY197" s="104"/>
      <c r="AZ197" s="104"/>
      <c r="BA197" s="104"/>
      <c r="BB197" s="104"/>
      <c r="BC197" s="104"/>
      <c r="BD197" s="104"/>
      <c r="BE197" s="147"/>
      <c r="BF197" s="146"/>
      <c r="BG197" s="542">
        <v>115</v>
      </c>
      <c r="BH197" s="828"/>
      <c r="BI197" s="829"/>
      <c r="BK197" s="104"/>
      <c r="BL197" s="104"/>
      <c r="BM197" s="104"/>
      <c r="BN197" s="104"/>
      <c r="BO197" s="104"/>
      <c r="BP197" s="104"/>
      <c r="BQ197" s="104"/>
      <c r="BR197" s="104"/>
      <c r="BS197" s="104"/>
      <c r="BT197" s="104"/>
      <c r="BU197" s="104"/>
      <c r="BV197" s="104"/>
      <c r="BW197" s="104"/>
      <c r="BX197" s="147"/>
      <c r="BY197" s="146"/>
      <c r="BZ197" s="542">
        <v>115</v>
      </c>
      <c r="CA197" s="828"/>
      <c r="CB197" s="829"/>
      <c r="CD197" s="104"/>
      <c r="CE197" s="104"/>
      <c r="CF197" s="104"/>
      <c r="CG197" s="104"/>
      <c r="CH197" s="104"/>
      <c r="CI197" s="104"/>
      <c r="CJ197" s="104"/>
      <c r="CK197" s="104"/>
      <c r="CL197" s="104"/>
      <c r="CM197" s="104"/>
      <c r="CN197" s="104"/>
      <c r="CO197" s="104"/>
      <c r="CP197" s="104"/>
      <c r="CQ197" s="147"/>
    </row>
    <row r="198" spans="1:95">
      <c r="A198" s="146"/>
      <c r="B198" s="542">
        <v>116</v>
      </c>
      <c r="C198" s="828"/>
      <c r="D198" s="829"/>
      <c r="F198" s="104"/>
      <c r="G198" s="104"/>
      <c r="H198" s="104"/>
      <c r="I198" s="104"/>
      <c r="J198" s="104"/>
      <c r="K198" s="104"/>
      <c r="L198" s="104"/>
      <c r="M198" s="104"/>
      <c r="N198" s="104"/>
      <c r="O198" s="104"/>
      <c r="P198" s="104"/>
      <c r="Q198" s="104"/>
      <c r="R198" s="104"/>
      <c r="S198" s="147"/>
      <c r="T198" s="146"/>
      <c r="U198" s="542">
        <v>116</v>
      </c>
      <c r="V198" s="828"/>
      <c r="W198" s="829"/>
      <c r="Y198" s="104"/>
      <c r="Z198" s="104"/>
      <c r="AA198" s="104"/>
      <c r="AB198" s="104"/>
      <c r="AC198" s="104"/>
      <c r="AD198" s="104"/>
      <c r="AE198" s="104"/>
      <c r="AF198" s="104"/>
      <c r="AG198" s="104"/>
      <c r="AH198" s="104"/>
      <c r="AI198" s="104"/>
      <c r="AJ198" s="104"/>
      <c r="AK198" s="104"/>
      <c r="AL198" s="147"/>
      <c r="AM198" s="146"/>
      <c r="AN198" s="542">
        <v>116</v>
      </c>
      <c r="AO198" s="828"/>
      <c r="AP198" s="829"/>
      <c r="AR198" s="104"/>
      <c r="AS198" s="104"/>
      <c r="AT198" s="104"/>
      <c r="AU198" s="104"/>
      <c r="AV198" s="104"/>
      <c r="AW198" s="104"/>
      <c r="AX198" s="104"/>
      <c r="AY198" s="104"/>
      <c r="AZ198" s="104"/>
      <c r="BA198" s="104"/>
      <c r="BB198" s="104"/>
      <c r="BC198" s="104"/>
      <c r="BD198" s="104"/>
      <c r="BE198" s="147"/>
      <c r="BF198" s="146"/>
      <c r="BG198" s="542">
        <v>116</v>
      </c>
      <c r="BH198" s="828"/>
      <c r="BI198" s="829"/>
      <c r="BK198" s="104"/>
      <c r="BL198" s="104"/>
      <c r="BM198" s="104"/>
      <c r="BN198" s="104"/>
      <c r="BO198" s="104"/>
      <c r="BP198" s="104"/>
      <c r="BQ198" s="104"/>
      <c r="BR198" s="104"/>
      <c r="BS198" s="104"/>
      <c r="BT198" s="104"/>
      <c r="BU198" s="104"/>
      <c r="BV198" s="104"/>
      <c r="BW198" s="104"/>
      <c r="BX198" s="147"/>
      <c r="BY198" s="146"/>
      <c r="BZ198" s="542">
        <v>116</v>
      </c>
      <c r="CA198" s="828"/>
      <c r="CB198" s="829"/>
      <c r="CD198" s="104"/>
      <c r="CE198" s="104"/>
      <c r="CF198" s="104"/>
      <c r="CG198" s="104"/>
      <c r="CH198" s="104"/>
      <c r="CI198" s="104"/>
      <c r="CJ198" s="104"/>
      <c r="CK198" s="104"/>
      <c r="CL198" s="104"/>
      <c r="CM198" s="104"/>
      <c r="CN198" s="104"/>
      <c r="CO198" s="104"/>
      <c r="CP198" s="104"/>
      <c r="CQ198" s="147"/>
    </row>
    <row r="199" spans="1:95">
      <c r="A199" s="146"/>
      <c r="B199" s="542">
        <v>117</v>
      </c>
      <c r="C199" s="828"/>
      <c r="D199" s="829"/>
      <c r="F199" s="104"/>
      <c r="G199" s="104"/>
      <c r="H199" s="104"/>
      <c r="I199" s="104"/>
      <c r="J199" s="104"/>
      <c r="K199" s="104"/>
      <c r="L199" s="104"/>
      <c r="M199" s="104"/>
      <c r="N199" s="104"/>
      <c r="O199" s="104"/>
      <c r="P199" s="104"/>
      <c r="Q199" s="104"/>
      <c r="R199" s="104"/>
      <c r="S199" s="147"/>
      <c r="T199" s="146"/>
      <c r="U199" s="542">
        <v>117</v>
      </c>
      <c r="V199" s="828"/>
      <c r="W199" s="829"/>
      <c r="Y199" s="104"/>
      <c r="Z199" s="104"/>
      <c r="AA199" s="104"/>
      <c r="AB199" s="104"/>
      <c r="AC199" s="104"/>
      <c r="AD199" s="104"/>
      <c r="AE199" s="104"/>
      <c r="AF199" s="104"/>
      <c r="AG199" s="104"/>
      <c r="AH199" s="104"/>
      <c r="AI199" s="104"/>
      <c r="AJ199" s="104"/>
      <c r="AK199" s="104"/>
      <c r="AL199" s="147"/>
      <c r="AM199" s="146"/>
      <c r="AN199" s="542">
        <v>117</v>
      </c>
      <c r="AO199" s="828"/>
      <c r="AP199" s="829"/>
      <c r="AR199" s="104"/>
      <c r="AS199" s="104"/>
      <c r="AT199" s="104"/>
      <c r="AU199" s="104"/>
      <c r="AV199" s="104"/>
      <c r="AW199" s="104"/>
      <c r="AX199" s="104"/>
      <c r="AY199" s="104"/>
      <c r="AZ199" s="104"/>
      <c r="BA199" s="104"/>
      <c r="BB199" s="104"/>
      <c r="BC199" s="104"/>
      <c r="BD199" s="104"/>
      <c r="BE199" s="147"/>
      <c r="BF199" s="146"/>
      <c r="BG199" s="542">
        <v>117</v>
      </c>
      <c r="BH199" s="828"/>
      <c r="BI199" s="829"/>
      <c r="BK199" s="104"/>
      <c r="BL199" s="104"/>
      <c r="BM199" s="104"/>
      <c r="BN199" s="104"/>
      <c r="BO199" s="104"/>
      <c r="BP199" s="104"/>
      <c r="BQ199" s="104"/>
      <c r="BR199" s="104"/>
      <c r="BS199" s="104"/>
      <c r="BT199" s="104"/>
      <c r="BU199" s="104"/>
      <c r="BV199" s="104"/>
      <c r="BW199" s="104"/>
      <c r="BX199" s="147"/>
      <c r="BY199" s="146"/>
      <c r="BZ199" s="542">
        <v>117</v>
      </c>
      <c r="CA199" s="828"/>
      <c r="CB199" s="829"/>
      <c r="CD199" s="104"/>
      <c r="CE199" s="104"/>
      <c r="CF199" s="104"/>
      <c r="CG199" s="104"/>
      <c r="CH199" s="104"/>
      <c r="CI199" s="104"/>
      <c r="CJ199" s="104"/>
      <c r="CK199" s="104"/>
      <c r="CL199" s="104"/>
      <c r="CM199" s="104"/>
      <c r="CN199" s="104"/>
      <c r="CO199" s="104"/>
      <c r="CP199" s="104"/>
      <c r="CQ199" s="147"/>
    </row>
    <row r="200" spans="1:95">
      <c r="A200" s="146"/>
      <c r="B200" s="542">
        <v>118</v>
      </c>
      <c r="C200" s="828"/>
      <c r="D200" s="829"/>
      <c r="F200" s="104"/>
      <c r="G200" s="104"/>
      <c r="H200" s="104"/>
      <c r="I200" s="104"/>
      <c r="J200" s="104"/>
      <c r="K200" s="104"/>
      <c r="L200" s="104"/>
      <c r="M200" s="104"/>
      <c r="N200" s="104"/>
      <c r="O200" s="104"/>
      <c r="P200" s="104"/>
      <c r="Q200" s="104"/>
      <c r="R200" s="104"/>
      <c r="S200" s="147"/>
      <c r="T200" s="146"/>
      <c r="U200" s="542">
        <v>118</v>
      </c>
      <c r="V200" s="828"/>
      <c r="W200" s="829"/>
      <c r="Y200" s="104"/>
      <c r="Z200" s="104"/>
      <c r="AA200" s="104"/>
      <c r="AB200" s="104"/>
      <c r="AC200" s="104"/>
      <c r="AD200" s="104"/>
      <c r="AE200" s="104"/>
      <c r="AF200" s="104"/>
      <c r="AG200" s="104"/>
      <c r="AH200" s="104"/>
      <c r="AI200" s="104"/>
      <c r="AJ200" s="104"/>
      <c r="AK200" s="104"/>
      <c r="AL200" s="147"/>
      <c r="AM200" s="146"/>
      <c r="AN200" s="542">
        <v>118</v>
      </c>
      <c r="AO200" s="828"/>
      <c r="AP200" s="829"/>
      <c r="AR200" s="104"/>
      <c r="AS200" s="104"/>
      <c r="AT200" s="104"/>
      <c r="AU200" s="104"/>
      <c r="AV200" s="104"/>
      <c r="AW200" s="104"/>
      <c r="AX200" s="104"/>
      <c r="AY200" s="104"/>
      <c r="AZ200" s="104"/>
      <c r="BA200" s="104"/>
      <c r="BB200" s="104"/>
      <c r="BC200" s="104"/>
      <c r="BD200" s="104"/>
      <c r="BE200" s="147"/>
      <c r="BF200" s="146"/>
      <c r="BG200" s="542">
        <v>118</v>
      </c>
      <c r="BH200" s="828"/>
      <c r="BI200" s="829"/>
      <c r="BK200" s="104"/>
      <c r="BL200" s="104"/>
      <c r="BM200" s="104"/>
      <c r="BN200" s="104"/>
      <c r="BO200" s="104"/>
      <c r="BP200" s="104"/>
      <c r="BQ200" s="104"/>
      <c r="BR200" s="104"/>
      <c r="BS200" s="104"/>
      <c r="BT200" s="104"/>
      <c r="BU200" s="104"/>
      <c r="BV200" s="104"/>
      <c r="BW200" s="104"/>
      <c r="BX200" s="147"/>
      <c r="BY200" s="146"/>
      <c r="BZ200" s="542">
        <v>118</v>
      </c>
      <c r="CA200" s="828"/>
      <c r="CB200" s="829"/>
      <c r="CD200" s="104"/>
      <c r="CE200" s="104"/>
      <c r="CF200" s="104"/>
      <c r="CG200" s="104"/>
      <c r="CH200" s="104"/>
      <c r="CI200" s="104"/>
      <c r="CJ200" s="104"/>
      <c r="CK200" s="104"/>
      <c r="CL200" s="104"/>
      <c r="CM200" s="104"/>
      <c r="CN200" s="104"/>
      <c r="CO200" s="104"/>
      <c r="CP200" s="104"/>
      <c r="CQ200" s="147"/>
    </row>
    <row r="201" spans="1:95">
      <c r="A201" s="146"/>
      <c r="B201" s="542">
        <v>119</v>
      </c>
      <c r="C201" s="828"/>
      <c r="D201" s="829"/>
      <c r="F201" s="104"/>
      <c r="G201" s="104"/>
      <c r="H201" s="104"/>
      <c r="I201" s="104"/>
      <c r="J201" s="104"/>
      <c r="K201" s="104"/>
      <c r="L201" s="104"/>
      <c r="M201" s="104"/>
      <c r="N201" s="104"/>
      <c r="O201" s="104"/>
      <c r="P201" s="104"/>
      <c r="Q201" s="104"/>
      <c r="R201" s="104"/>
      <c r="S201" s="147"/>
      <c r="T201" s="146"/>
      <c r="U201" s="542">
        <v>119</v>
      </c>
      <c r="V201" s="828"/>
      <c r="W201" s="829"/>
      <c r="Y201" s="104"/>
      <c r="Z201" s="104"/>
      <c r="AA201" s="104"/>
      <c r="AB201" s="104"/>
      <c r="AC201" s="104"/>
      <c r="AD201" s="104"/>
      <c r="AE201" s="104"/>
      <c r="AF201" s="104"/>
      <c r="AG201" s="104"/>
      <c r="AH201" s="104"/>
      <c r="AI201" s="104"/>
      <c r="AJ201" s="104"/>
      <c r="AK201" s="104"/>
      <c r="AL201" s="147"/>
      <c r="AM201" s="146"/>
      <c r="AN201" s="542">
        <v>119</v>
      </c>
      <c r="AO201" s="828"/>
      <c r="AP201" s="829"/>
      <c r="AR201" s="104"/>
      <c r="AS201" s="104"/>
      <c r="AT201" s="104"/>
      <c r="AU201" s="104"/>
      <c r="AV201" s="104"/>
      <c r="AW201" s="104"/>
      <c r="AX201" s="104"/>
      <c r="AY201" s="104"/>
      <c r="AZ201" s="104"/>
      <c r="BA201" s="104"/>
      <c r="BB201" s="104"/>
      <c r="BC201" s="104"/>
      <c r="BD201" s="104"/>
      <c r="BE201" s="147"/>
      <c r="BF201" s="146"/>
      <c r="BG201" s="542">
        <v>119</v>
      </c>
      <c r="BH201" s="828"/>
      <c r="BI201" s="829"/>
      <c r="BK201" s="104"/>
      <c r="BL201" s="104"/>
      <c r="BM201" s="104"/>
      <c r="BN201" s="104"/>
      <c r="BO201" s="104"/>
      <c r="BP201" s="104"/>
      <c r="BQ201" s="104"/>
      <c r="BR201" s="104"/>
      <c r="BS201" s="104"/>
      <c r="BT201" s="104"/>
      <c r="BU201" s="104"/>
      <c r="BV201" s="104"/>
      <c r="BW201" s="104"/>
      <c r="BX201" s="147"/>
      <c r="BY201" s="146"/>
      <c r="BZ201" s="542">
        <v>119</v>
      </c>
      <c r="CA201" s="828"/>
      <c r="CB201" s="829"/>
      <c r="CD201" s="104"/>
      <c r="CE201" s="104"/>
      <c r="CF201" s="104"/>
      <c r="CG201" s="104"/>
      <c r="CH201" s="104"/>
      <c r="CI201" s="104"/>
      <c r="CJ201" s="104"/>
      <c r="CK201" s="104"/>
      <c r="CL201" s="104"/>
      <c r="CM201" s="104"/>
      <c r="CN201" s="104"/>
      <c r="CO201" s="104"/>
      <c r="CP201" s="104"/>
      <c r="CQ201" s="147"/>
    </row>
    <row r="202" spans="1:95">
      <c r="A202" s="146"/>
      <c r="B202" s="542">
        <v>120</v>
      </c>
      <c r="C202" s="828"/>
      <c r="D202" s="829"/>
      <c r="F202" s="104"/>
      <c r="G202" s="104"/>
      <c r="H202" s="104"/>
      <c r="I202" s="104"/>
      <c r="J202" s="104"/>
      <c r="K202" s="104"/>
      <c r="L202" s="104"/>
      <c r="M202" s="104"/>
      <c r="N202" s="104"/>
      <c r="O202" s="104"/>
      <c r="P202" s="104"/>
      <c r="Q202" s="104"/>
      <c r="R202" s="104"/>
      <c r="S202" s="147"/>
      <c r="T202" s="146"/>
      <c r="U202" s="542">
        <v>120</v>
      </c>
      <c r="V202" s="828"/>
      <c r="W202" s="829"/>
      <c r="Y202" s="104"/>
      <c r="Z202" s="104"/>
      <c r="AA202" s="104"/>
      <c r="AB202" s="104"/>
      <c r="AC202" s="104"/>
      <c r="AD202" s="104"/>
      <c r="AE202" s="104"/>
      <c r="AF202" s="104"/>
      <c r="AG202" s="104"/>
      <c r="AH202" s="104"/>
      <c r="AI202" s="104"/>
      <c r="AJ202" s="104"/>
      <c r="AK202" s="104"/>
      <c r="AL202" s="147"/>
      <c r="AM202" s="146"/>
      <c r="AN202" s="542">
        <v>120</v>
      </c>
      <c r="AO202" s="828"/>
      <c r="AP202" s="829"/>
      <c r="AR202" s="104"/>
      <c r="AS202" s="104"/>
      <c r="AT202" s="104"/>
      <c r="AU202" s="104"/>
      <c r="AV202" s="104"/>
      <c r="AW202" s="104"/>
      <c r="AX202" s="104"/>
      <c r="AY202" s="104"/>
      <c r="AZ202" s="104"/>
      <c r="BA202" s="104"/>
      <c r="BB202" s="104"/>
      <c r="BC202" s="104"/>
      <c r="BD202" s="104"/>
      <c r="BE202" s="147"/>
      <c r="BF202" s="146"/>
      <c r="BG202" s="542">
        <v>120</v>
      </c>
      <c r="BH202" s="828"/>
      <c r="BI202" s="829"/>
      <c r="BK202" s="104"/>
      <c r="BL202" s="104"/>
      <c r="BM202" s="104"/>
      <c r="BN202" s="104"/>
      <c r="BO202" s="104"/>
      <c r="BP202" s="104"/>
      <c r="BQ202" s="104"/>
      <c r="BR202" s="104"/>
      <c r="BS202" s="104"/>
      <c r="BT202" s="104"/>
      <c r="BU202" s="104"/>
      <c r="BV202" s="104"/>
      <c r="BW202" s="104"/>
      <c r="BX202" s="147"/>
      <c r="BY202" s="146"/>
      <c r="BZ202" s="542">
        <v>120</v>
      </c>
      <c r="CA202" s="828"/>
      <c r="CB202" s="829"/>
      <c r="CD202" s="104"/>
      <c r="CE202" s="104"/>
      <c r="CF202" s="104"/>
      <c r="CG202" s="104"/>
      <c r="CH202" s="104"/>
      <c r="CI202" s="104"/>
      <c r="CJ202" s="104"/>
      <c r="CK202" s="104"/>
      <c r="CL202" s="104"/>
      <c r="CM202" s="104"/>
      <c r="CN202" s="104"/>
      <c r="CO202" s="104"/>
      <c r="CP202" s="104"/>
      <c r="CQ202" s="147"/>
    </row>
    <row r="203" spans="1:95">
      <c r="A203" s="104"/>
      <c r="B203" s="542">
        <v>121</v>
      </c>
      <c r="C203" s="828"/>
      <c r="D203" s="829"/>
      <c r="F203" s="104"/>
      <c r="G203" s="104"/>
      <c r="H203" s="104"/>
      <c r="I203" s="104"/>
      <c r="J203" s="104"/>
      <c r="K203" s="104"/>
      <c r="L203" s="104"/>
      <c r="M203" s="104"/>
      <c r="N203" s="104"/>
      <c r="O203" s="104"/>
      <c r="P203" s="104"/>
      <c r="Q203" s="104"/>
      <c r="R203" s="104"/>
      <c r="S203" s="147"/>
      <c r="T203" s="104"/>
      <c r="U203" s="542">
        <v>121</v>
      </c>
      <c r="V203" s="828"/>
      <c r="W203" s="829"/>
      <c r="Y203" s="104"/>
      <c r="Z203" s="104"/>
      <c r="AA203" s="104"/>
      <c r="AB203" s="104"/>
      <c r="AC203" s="104"/>
      <c r="AD203" s="104"/>
      <c r="AE203" s="104"/>
      <c r="AF203" s="104"/>
      <c r="AG203" s="104"/>
      <c r="AH203" s="104"/>
      <c r="AI203" s="104"/>
      <c r="AJ203" s="104"/>
      <c r="AK203" s="104"/>
      <c r="AL203" s="147"/>
      <c r="AM203" s="104"/>
      <c r="AN203" s="542">
        <v>121</v>
      </c>
      <c r="AO203" s="828"/>
      <c r="AP203" s="829"/>
      <c r="AR203" s="104"/>
      <c r="AS203" s="104"/>
      <c r="AT203" s="104"/>
      <c r="AU203" s="104"/>
      <c r="AV203" s="104"/>
      <c r="AW203" s="104"/>
      <c r="AX203" s="104"/>
      <c r="AY203" s="104"/>
      <c r="AZ203" s="104"/>
      <c r="BA203" s="104"/>
      <c r="BB203" s="104"/>
      <c r="BC203" s="104"/>
      <c r="BD203" s="104"/>
      <c r="BE203" s="147"/>
      <c r="BF203" s="104"/>
      <c r="BG203" s="542">
        <v>121</v>
      </c>
      <c r="BH203" s="828"/>
      <c r="BI203" s="829"/>
      <c r="BK203" s="104"/>
      <c r="BL203" s="104"/>
      <c r="BM203" s="104"/>
      <c r="BN203" s="104"/>
      <c r="BO203" s="104"/>
      <c r="BP203" s="104"/>
      <c r="BQ203" s="104"/>
      <c r="BR203" s="104"/>
      <c r="BS203" s="104"/>
      <c r="BT203" s="104"/>
      <c r="BU203" s="104"/>
      <c r="BV203" s="104"/>
      <c r="BW203" s="104"/>
      <c r="BX203" s="147"/>
      <c r="BY203" s="104"/>
      <c r="BZ203" s="542">
        <v>121</v>
      </c>
      <c r="CA203" s="828"/>
      <c r="CB203" s="829"/>
      <c r="CD203" s="104"/>
      <c r="CE203" s="104"/>
      <c r="CF203" s="104"/>
      <c r="CG203" s="104"/>
      <c r="CH203" s="104"/>
      <c r="CI203" s="104"/>
      <c r="CJ203" s="104"/>
      <c r="CK203" s="104"/>
      <c r="CL203" s="104"/>
      <c r="CM203" s="104"/>
      <c r="CN203" s="104"/>
      <c r="CO203" s="104"/>
      <c r="CP203" s="104"/>
      <c r="CQ203" s="147"/>
    </row>
    <row r="204" spans="1:95">
      <c r="B204" s="542">
        <v>122</v>
      </c>
      <c r="C204" s="828"/>
      <c r="D204" s="829"/>
      <c r="S204" s="15"/>
      <c r="U204" s="542">
        <v>122</v>
      </c>
      <c r="V204" s="828"/>
      <c r="W204" s="829"/>
      <c r="AL204" s="15"/>
      <c r="AN204" s="542">
        <v>122</v>
      </c>
      <c r="AO204" s="828"/>
      <c r="AP204" s="829"/>
      <c r="BE204" s="15"/>
      <c r="BG204" s="542">
        <v>122</v>
      </c>
      <c r="BH204" s="828"/>
      <c r="BI204" s="829"/>
      <c r="BX204" s="15"/>
      <c r="BZ204" s="542">
        <v>122</v>
      </c>
      <c r="CA204" s="828"/>
      <c r="CB204" s="829"/>
      <c r="CQ204" s="15"/>
    </row>
    <row r="205" spans="1:95">
      <c r="B205" s="542">
        <v>123</v>
      </c>
      <c r="C205" s="828"/>
      <c r="D205" s="829"/>
      <c r="S205" s="15"/>
      <c r="U205" s="542">
        <v>123</v>
      </c>
      <c r="V205" s="828"/>
      <c r="W205" s="829"/>
      <c r="AL205" s="15"/>
      <c r="AN205" s="542">
        <v>123</v>
      </c>
      <c r="AO205" s="828"/>
      <c r="AP205" s="829"/>
      <c r="BE205" s="15"/>
      <c r="BG205" s="542">
        <v>123</v>
      </c>
      <c r="BH205" s="828"/>
      <c r="BI205" s="829"/>
      <c r="BX205" s="15"/>
      <c r="BZ205" s="542">
        <v>123</v>
      </c>
      <c r="CA205" s="828"/>
      <c r="CB205" s="829"/>
      <c r="CQ205" s="15"/>
    </row>
    <row r="206" spans="1:95">
      <c r="B206" s="542">
        <v>124</v>
      </c>
      <c r="C206" s="828"/>
      <c r="D206" s="829"/>
      <c r="S206" s="15"/>
      <c r="U206" s="542">
        <v>124</v>
      </c>
      <c r="V206" s="828"/>
      <c r="W206" s="829"/>
      <c r="AL206" s="15"/>
      <c r="AN206" s="542">
        <v>124</v>
      </c>
      <c r="AO206" s="828"/>
      <c r="AP206" s="829"/>
      <c r="BE206" s="15"/>
      <c r="BG206" s="542">
        <v>124</v>
      </c>
      <c r="BH206" s="828"/>
      <c r="BI206" s="829"/>
      <c r="BX206" s="15"/>
      <c r="BZ206" s="542">
        <v>124</v>
      </c>
      <c r="CA206" s="828"/>
      <c r="CB206" s="829"/>
      <c r="CQ206" s="15"/>
    </row>
    <row r="207" spans="1:95">
      <c r="B207" s="542">
        <v>125</v>
      </c>
      <c r="C207" s="828"/>
      <c r="D207" s="829"/>
      <c r="S207" s="15"/>
      <c r="U207" s="542">
        <v>125</v>
      </c>
      <c r="V207" s="828"/>
      <c r="W207" s="829"/>
      <c r="AL207" s="15"/>
      <c r="AN207" s="542">
        <v>125</v>
      </c>
      <c r="AO207" s="828"/>
      <c r="AP207" s="829"/>
      <c r="BE207" s="15"/>
      <c r="BG207" s="542">
        <v>125</v>
      </c>
      <c r="BH207" s="828"/>
      <c r="BI207" s="829"/>
      <c r="BX207" s="15"/>
      <c r="BZ207" s="542">
        <v>125</v>
      </c>
      <c r="CA207" s="828"/>
      <c r="CB207" s="829"/>
      <c r="CQ207" s="15"/>
    </row>
    <row r="208" spans="1:95">
      <c r="B208" s="542">
        <v>126</v>
      </c>
      <c r="C208" s="828"/>
      <c r="D208" s="829"/>
      <c r="S208" s="15"/>
      <c r="U208" s="542">
        <v>126</v>
      </c>
      <c r="V208" s="828"/>
      <c r="W208" s="829"/>
      <c r="AL208" s="15"/>
      <c r="AN208" s="542">
        <v>126</v>
      </c>
      <c r="AO208" s="828"/>
      <c r="AP208" s="829"/>
      <c r="BE208" s="15"/>
      <c r="BG208" s="542">
        <v>126</v>
      </c>
      <c r="BH208" s="828"/>
      <c r="BI208" s="829"/>
      <c r="BX208" s="15"/>
      <c r="BZ208" s="542">
        <v>126</v>
      </c>
      <c r="CA208" s="828"/>
      <c r="CB208" s="829"/>
      <c r="CQ208" s="15"/>
    </row>
    <row r="209" spans="2:95">
      <c r="B209" s="542">
        <v>127</v>
      </c>
      <c r="C209" s="828"/>
      <c r="D209" s="829"/>
      <c r="S209" s="15"/>
      <c r="U209" s="542">
        <v>127</v>
      </c>
      <c r="V209" s="828"/>
      <c r="W209" s="829"/>
      <c r="AL209" s="15"/>
      <c r="AN209" s="542">
        <v>127</v>
      </c>
      <c r="AO209" s="828"/>
      <c r="AP209" s="829"/>
      <c r="BE209" s="15"/>
      <c r="BG209" s="542">
        <v>127</v>
      </c>
      <c r="BH209" s="828"/>
      <c r="BI209" s="829"/>
      <c r="BX209" s="15"/>
      <c r="BZ209" s="542">
        <v>127</v>
      </c>
      <c r="CA209" s="828"/>
      <c r="CB209" s="829"/>
      <c r="CQ209" s="15"/>
    </row>
    <row r="210" spans="2:95">
      <c r="B210" s="542">
        <v>128</v>
      </c>
      <c r="C210" s="828"/>
      <c r="D210" s="829"/>
      <c r="S210" s="15"/>
      <c r="U210" s="542">
        <v>128</v>
      </c>
      <c r="V210" s="828"/>
      <c r="W210" s="829"/>
      <c r="AL210" s="15"/>
      <c r="AN210" s="542">
        <v>128</v>
      </c>
      <c r="AO210" s="828"/>
      <c r="AP210" s="829"/>
      <c r="BE210" s="15"/>
      <c r="BG210" s="542">
        <v>128</v>
      </c>
      <c r="BH210" s="828"/>
      <c r="BI210" s="829"/>
      <c r="BX210" s="15"/>
      <c r="BZ210" s="542">
        <v>128</v>
      </c>
      <c r="CA210" s="828"/>
      <c r="CB210" s="829"/>
      <c r="CQ210" s="15"/>
    </row>
    <row r="211" spans="2:95">
      <c r="B211" s="542">
        <v>129</v>
      </c>
      <c r="C211" s="828"/>
      <c r="D211" s="829"/>
      <c r="S211" s="15"/>
      <c r="U211" s="542">
        <v>129</v>
      </c>
      <c r="V211" s="828"/>
      <c r="W211" s="829"/>
      <c r="AL211" s="15"/>
      <c r="AN211" s="542">
        <v>129</v>
      </c>
      <c r="AO211" s="828"/>
      <c r="AP211" s="829"/>
      <c r="BE211" s="15"/>
      <c r="BG211" s="542">
        <v>129</v>
      </c>
      <c r="BH211" s="828"/>
      <c r="BI211" s="829"/>
      <c r="BX211" s="15"/>
      <c r="BZ211" s="542">
        <v>129</v>
      </c>
      <c r="CA211" s="828"/>
      <c r="CB211" s="829"/>
      <c r="CQ211" s="15"/>
    </row>
    <row r="212" spans="2:95">
      <c r="B212" s="542">
        <v>130</v>
      </c>
      <c r="C212" s="828"/>
      <c r="D212" s="829"/>
      <c r="S212" s="15"/>
      <c r="U212" s="542">
        <v>130</v>
      </c>
      <c r="V212" s="828"/>
      <c r="W212" s="829"/>
      <c r="AL212" s="15"/>
      <c r="AN212" s="542">
        <v>130</v>
      </c>
      <c r="AO212" s="828"/>
      <c r="AP212" s="829"/>
      <c r="BE212" s="15"/>
      <c r="BG212" s="542">
        <v>130</v>
      </c>
      <c r="BH212" s="828"/>
      <c r="BI212" s="829"/>
      <c r="BX212" s="15"/>
      <c r="BZ212" s="542">
        <v>130</v>
      </c>
      <c r="CA212" s="828"/>
      <c r="CB212" s="829"/>
      <c r="CQ212" s="15"/>
    </row>
    <row r="213" spans="2:95">
      <c r="B213" s="542">
        <v>131</v>
      </c>
      <c r="C213" s="828"/>
      <c r="D213" s="829"/>
      <c r="S213" s="15"/>
      <c r="U213" s="542">
        <v>131</v>
      </c>
      <c r="V213" s="828"/>
      <c r="W213" s="829"/>
      <c r="AL213" s="15"/>
      <c r="AN213" s="542">
        <v>131</v>
      </c>
      <c r="AO213" s="828"/>
      <c r="AP213" s="829"/>
      <c r="BE213" s="15"/>
      <c r="BG213" s="542">
        <v>131</v>
      </c>
      <c r="BH213" s="828"/>
      <c r="BI213" s="829"/>
      <c r="BX213" s="15"/>
      <c r="BZ213" s="542">
        <v>131</v>
      </c>
      <c r="CA213" s="828"/>
      <c r="CB213" s="829"/>
      <c r="CQ213" s="15"/>
    </row>
    <row r="214" spans="2:95">
      <c r="B214" s="542">
        <v>132</v>
      </c>
      <c r="C214" s="828"/>
      <c r="D214" s="829"/>
      <c r="S214" s="15"/>
      <c r="U214" s="542">
        <v>132</v>
      </c>
      <c r="V214" s="828"/>
      <c r="W214" s="829"/>
      <c r="AL214" s="15"/>
      <c r="AN214" s="542">
        <v>132</v>
      </c>
      <c r="AO214" s="828"/>
      <c r="AP214" s="829"/>
      <c r="BE214" s="15"/>
      <c r="BG214" s="542">
        <v>132</v>
      </c>
      <c r="BH214" s="828"/>
      <c r="BI214" s="829"/>
      <c r="BX214" s="15"/>
      <c r="BZ214" s="542">
        <v>132</v>
      </c>
      <c r="CA214" s="828"/>
      <c r="CB214" s="829"/>
      <c r="CQ214" s="15"/>
    </row>
    <row r="215" spans="2:95">
      <c r="B215" s="542">
        <v>133</v>
      </c>
      <c r="C215" s="828"/>
      <c r="D215" s="829"/>
      <c r="S215" s="15"/>
      <c r="U215" s="542">
        <v>133</v>
      </c>
      <c r="V215" s="828"/>
      <c r="W215" s="829"/>
      <c r="AL215" s="15"/>
      <c r="AN215" s="542">
        <v>133</v>
      </c>
      <c r="AO215" s="828"/>
      <c r="AP215" s="829"/>
      <c r="BE215" s="15"/>
      <c r="BG215" s="542">
        <v>133</v>
      </c>
      <c r="BH215" s="828"/>
      <c r="BI215" s="829"/>
      <c r="BX215" s="15"/>
      <c r="BZ215" s="542">
        <v>133</v>
      </c>
      <c r="CA215" s="828"/>
      <c r="CB215" s="829"/>
      <c r="CQ215" s="15"/>
    </row>
    <row r="216" spans="2:95">
      <c r="B216" s="542">
        <v>134</v>
      </c>
      <c r="C216" s="828"/>
      <c r="D216" s="829"/>
      <c r="S216" s="15"/>
      <c r="U216" s="542">
        <v>134</v>
      </c>
      <c r="V216" s="828"/>
      <c r="W216" s="829"/>
      <c r="AL216" s="15"/>
      <c r="AN216" s="542">
        <v>134</v>
      </c>
      <c r="AO216" s="828"/>
      <c r="AP216" s="829"/>
      <c r="BE216" s="15"/>
      <c r="BG216" s="542">
        <v>134</v>
      </c>
      <c r="BH216" s="828"/>
      <c r="BI216" s="829"/>
      <c r="BX216" s="15"/>
      <c r="BZ216" s="542">
        <v>134</v>
      </c>
      <c r="CA216" s="828"/>
      <c r="CB216" s="829"/>
      <c r="CQ216" s="15"/>
    </row>
    <row r="217" spans="2:95">
      <c r="B217" s="542">
        <v>135</v>
      </c>
      <c r="C217" s="828"/>
      <c r="D217" s="829"/>
      <c r="S217" s="15"/>
      <c r="U217" s="542">
        <v>135</v>
      </c>
      <c r="V217" s="828"/>
      <c r="W217" s="829"/>
      <c r="AL217" s="15"/>
      <c r="AN217" s="542">
        <v>135</v>
      </c>
      <c r="AO217" s="828"/>
      <c r="AP217" s="829"/>
      <c r="BE217" s="15"/>
      <c r="BG217" s="542">
        <v>135</v>
      </c>
      <c r="BH217" s="828"/>
      <c r="BI217" s="829"/>
      <c r="BX217" s="15"/>
      <c r="BZ217" s="542">
        <v>135</v>
      </c>
      <c r="CA217" s="828"/>
      <c r="CB217" s="829"/>
      <c r="CQ217" s="15"/>
    </row>
    <row r="218" spans="2:95">
      <c r="B218" s="542">
        <v>136</v>
      </c>
      <c r="C218" s="828"/>
      <c r="D218" s="829"/>
      <c r="S218" s="15"/>
      <c r="U218" s="542">
        <v>136</v>
      </c>
      <c r="V218" s="828"/>
      <c r="W218" s="829"/>
      <c r="AL218" s="15"/>
      <c r="AN218" s="542">
        <v>136</v>
      </c>
      <c r="AO218" s="828"/>
      <c r="AP218" s="829"/>
      <c r="BE218" s="15"/>
      <c r="BG218" s="542">
        <v>136</v>
      </c>
      <c r="BH218" s="828"/>
      <c r="BI218" s="829"/>
      <c r="BX218" s="15"/>
      <c r="BZ218" s="542">
        <v>136</v>
      </c>
      <c r="CA218" s="828"/>
      <c r="CB218" s="829"/>
      <c r="CQ218" s="15"/>
    </row>
    <row r="219" spans="2:95">
      <c r="B219" s="542">
        <v>137</v>
      </c>
      <c r="C219" s="828"/>
      <c r="D219" s="829"/>
      <c r="S219" s="15"/>
      <c r="U219" s="542">
        <v>137</v>
      </c>
      <c r="V219" s="828"/>
      <c r="W219" s="829"/>
      <c r="AL219" s="15"/>
      <c r="AN219" s="542">
        <v>137</v>
      </c>
      <c r="AO219" s="828"/>
      <c r="AP219" s="829"/>
      <c r="BE219" s="15"/>
      <c r="BG219" s="542">
        <v>137</v>
      </c>
      <c r="BH219" s="828"/>
      <c r="BI219" s="829"/>
      <c r="BX219" s="15"/>
      <c r="BZ219" s="542">
        <v>137</v>
      </c>
      <c r="CA219" s="828"/>
      <c r="CB219" s="829"/>
      <c r="CQ219" s="15"/>
    </row>
    <row r="220" spans="2:95">
      <c r="B220" s="542">
        <v>138</v>
      </c>
      <c r="C220" s="828"/>
      <c r="D220" s="829"/>
      <c r="S220" s="15"/>
      <c r="U220" s="542">
        <v>138</v>
      </c>
      <c r="V220" s="828"/>
      <c r="W220" s="829"/>
      <c r="AL220" s="15"/>
      <c r="AN220" s="542">
        <v>138</v>
      </c>
      <c r="AO220" s="828"/>
      <c r="AP220" s="829"/>
      <c r="BE220" s="15"/>
      <c r="BG220" s="542">
        <v>138</v>
      </c>
      <c r="BH220" s="828"/>
      <c r="BI220" s="829"/>
      <c r="BX220" s="15"/>
      <c r="BZ220" s="542">
        <v>138</v>
      </c>
      <c r="CA220" s="828"/>
      <c r="CB220" s="829"/>
      <c r="CQ220" s="15"/>
    </row>
    <row r="221" spans="2:95">
      <c r="B221" s="542">
        <v>139</v>
      </c>
      <c r="C221" s="828"/>
      <c r="D221" s="829"/>
      <c r="S221" s="15"/>
      <c r="U221" s="542">
        <v>139</v>
      </c>
      <c r="V221" s="828"/>
      <c r="W221" s="829"/>
      <c r="AL221" s="15"/>
      <c r="AN221" s="542">
        <v>139</v>
      </c>
      <c r="AO221" s="828"/>
      <c r="AP221" s="829"/>
      <c r="BE221" s="15"/>
      <c r="BG221" s="542">
        <v>139</v>
      </c>
      <c r="BH221" s="828"/>
      <c r="BI221" s="829"/>
      <c r="BX221" s="15"/>
      <c r="BZ221" s="542">
        <v>139</v>
      </c>
      <c r="CA221" s="828"/>
      <c r="CB221" s="829"/>
      <c r="CQ221" s="15"/>
    </row>
    <row r="222" spans="2:95">
      <c r="B222" s="542">
        <v>140</v>
      </c>
      <c r="C222" s="828"/>
      <c r="D222" s="829"/>
      <c r="S222" s="15"/>
      <c r="U222" s="542">
        <v>140</v>
      </c>
      <c r="V222" s="828"/>
      <c r="W222" s="829"/>
      <c r="AL222" s="15"/>
      <c r="AN222" s="542">
        <v>140</v>
      </c>
      <c r="AO222" s="828"/>
      <c r="AP222" s="829"/>
      <c r="BE222" s="15"/>
      <c r="BG222" s="542">
        <v>140</v>
      </c>
      <c r="BH222" s="828"/>
      <c r="BI222" s="829"/>
      <c r="BX222" s="15"/>
      <c r="BZ222" s="542">
        <v>140</v>
      </c>
      <c r="CA222" s="828"/>
      <c r="CB222" s="829"/>
      <c r="CQ222" s="15"/>
    </row>
    <row r="223" spans="2:95">
      <c r="B223" s="542">
        <v>141</v>
      </c>
      <c r="C223" s="828"/>
      <c r="D223" s="829"/>
      <c r="S223" s="15"/>
      <c r="U223" s="542">
        <v>141</v>
      </c>
      <c r="V223" s="828"/>
      <c r="W223" s="829"/>
      <c r="AL223" s="15"/>
      <c r="AN223" s="542">
        <v>141</v>
      </c>
      <c r="AO223" s="828"/>
      <c r="AP223" s="829"/>
      <c r="BE223" s="15"/>
      <c r="BG223" s="542">
        <v>141</v>
      </c>
      <c r="BH223" s="828"/>
      <c r="BI223" s="829"/>
      <c r="BX223" s="15"/>
      <c r="BZ223" s="542">
        <v>141</v>
      </c>
      <c r="CA223" s="828"/>
      <c r="CB223" s="829"/>
      <c r="CQ223" s="15"/>
    </row>
    <row r="224" spans="2:95">
      <c r="B224" s="542">
        <v>142</v>
      </c>
      <c r="C224" s="828"/>
      <c r="D224" s="829"/>
      <c r="S224" s="15"/>
      <c r="U224" s="542">
        <v>142</v>
      </c>
      <c r="V224" s="828"/>
      <c r="W224" s="829"/>
      <c r="AL224" s="15"/>
      <c r="AN224" s="542">
        <v>142</v>
      </c>
      <c r="AO224" s="828"/>
      <c r="AP224" s="829"/>
      <c r="BE224" s="15"/>
      <c r="BG224" s="542">
        <v>142</v>
      </c>
      <c r="BH224" s="828"/>
      <c r="BI224" s="829"/>
      <c r="BX224" s="15"/>
      <c r="BZ224" s="542">
        <v>142</v>
      </c>
      <c r="CA224" s="828"/>
      <c r="CB224" s="829"/>
      <c r="CQ224" s="15"/>
    </row>
    <row r="225" spans="2:95">
      <c r="B225" s="542">
        <v>143</v>
      </c>
      <c r="C225" s="828"/>
      <c r="D225" s="829"/>
      <c r="S225" s="15"/>
      <c r="U225" s="542">
        <v>143</v>
      </c>
      <c r="V225" s="828"/>
      <c r="W225" s="829"/>
      <c r="AL225" s="15"/>
      <c r="AN225" s="542">
        <v>143</v>
      </c>
      <c r="AO225" s="828"/>
      <c r="AP225" s="829"/>
      <c r="BE225" s="15"/>
      <c r="BG225" s="542">
        <v>143</v>
      </c>
      <c r="BH225" s="828"/>
      <c r="BI225" s="829"/>
      <c r="BX225" s="15"/>
      <c r="BZ225" s="542">
        <v>143</v>
      </c>
      <c r="CA225" s="828"/>
      <c r="CB225" s="829"/>
      <c r="CQ225" s="15"/>
    </row>
    <row r="226" spans="2:95">
      <c r="B226" s="542">
        <v>144</v>
      </c>
      <c r="C226" s="828"/>
      <c r="D226" s="829"/>
      <c r="S226" s="15"/>
      <c r="U226" s="542">
        <v>144</v>
      </c>
      <c r="V226" s="828"/>
      <c r="W226" s="829"/>
      <c r="AL226" s="15"/>
      <c r="AN226" s="542">
        <v>144</v>
      </c>
      <c r="AO226" s="828"/>
      <c r="AP226" s="829"/>
      <c r="BE226" s="15"/>
      <c r="BG226" s="542">
        <v>144</v>
      </c>
      <c r="BH226" s="828"/>
      <c r="BI226" s="829"/>
      <c r="BX226" s="15"/>
      <c r="BZ226" s="542">
        <v>144</v>
      </c>
      <c r="CA226" s="828"/>
      <c r="CB226" s="829"/>
      <c r="CQ226" s="15"/>
    </row>
    <row r="227" spans="2:95">
      <c r="B227" s="542">
        <v>145</v>
      </c>
      <c r="C227" s="828"/>
      <c r="D227" s="829"/>
      <c r="S227" s="15"/>
      <c r="U227" s="542">
        <v>145</v>
      </c>
      <c r="V227" s="828"/>
      <c r="W227" s="829"/>
      <c r="AL227" s="15"/>
      <c r="AN227" s="542">
        <v>145</v>
      </c>
      <c r="AO227" s="828"/>
      <c r="AP227" s="829"/>
      <c r="BE227" s="15"/>
      <c r="BG227" s="542">
        <v>145</v>
      </c>
      <c r="BH227" s="828"/>
      <c r="BI227" s="829"/>
      <c r="BX227" s="15"/>
      <c r="BZ227" s="542">
        <v>145</v>
      </c>
      <c r="CA227" s="828"/>
      <c r="CB227" s="829"/>
      <c r="CQ227" s="15"/>
    </row>
    <row r="228" spans="2:95">
      <c r="B228" s="542">
        <v>146</v>
      </c>
      <c r="C228" s="828"/>
      <c r="D228" s="829"/>
      <c r="S228" s="15"/>
      <c r="U228" s="542">
        <v>146</v>
      </c>
      <c r="V228" s="828"/>
      <c r="W228" s="829"/>
      <c r="AL228" s="15"/>
      <c r="AN228" s="542">
        <v>146</v>
      </c>
      <c r="AO228" s="828"/>
      <c r="AP228" s="829"/>
      <c r="BE228" s="15"/>
      <c r="BG228" s="542">
        <v>146</v>
      </c>
      <c r="BH228" s="828"/>
      <c r="BI228" s="829"/>
      <c r="BX228" s="15"/>
      <c r="BZ228" s="542">
        <v>146</v>
      </c>
      <c r="CA228" s="828"/>
      <c r="CB228" s="829"/>
      <c r="CQ228" s="15"/>
    </row>
    <row r="229" spans="2:95">
      <c r="B229" s="542">
        <v>147</v>
      </c>
      <c r="C229" s="828"/>
      <c r="D229" s="829"/>
      <c r="S229" s="15"/>
      <c r="U229" s="542">
        <v>147</v>
      </c>
      <c r="V229" s="828"/>
      <c r="W229" s="829"/>
      <c r="AL229" s="15"/>
      <c r="AN229" s="542">
        <v>147</v>
      </c>
      <c r="AO229" s="828"/>
      <c r="AP229" s="829"/>
      <c r="BE229" s="15"/>
      <c r="BG229" s="542">
        <v>147</v>
      </c>
      <c r="BH229" s="828"/>
      <c r="BI229" s="829"/>
      <c r="BX229" s="15"/>
      <c r="BZ229" s="542">
        <v>147</v>
      </c>
      <c r="CA229" s="828"/>
      <c r="CB229" s="829"/>
      <c r="CQ229" s="15"/>
    </row>
    <row r="230" spans="2:95">
      <c r="B230" s="542">
        <v>148</v>
      </c>
      <c r="C230" s="828"/>
      <c r="D230" s="829"/>
      <c r="S230" s="15"/>
      <c r="U230" s="542">
        <v>148</v>
      </c>
      <c r="V230" s="828"/>
      <c r="W230" s="829"/>
      <c r="AL230" s="15"/>
      <c r="AN230" s="542">
        <v>148</v>
      </c>
      <c r="AO230" s="828"/>
      <c r="AP230" s="829"/>
      <c r="BE230" s="15"/>
      <c r="BG230" s="542">
        <v>148</v>
      </c>
      <c r="BH230" s="828"/>
      <c r="BI230" s="829"/>
      <c r="BX230" s="15"/>
      <c r="BZ230" s="542">
        <v>148</v>
      </c>
      <c r="CA230" s="828"/>
      <c r="CB230" s="829"/>
      <c r="CQ230" s="15"/>
    </row>
    <row r="231" spans="2:95">
      <c r="B231" s="542">
        <v>149</v>
      </c>
      <c r="C231" s="828"/>
      <c r="D231" s="829"/>
      <c r="S231" s="15"/>
      <c r="U231" s="542">
        <v>149</v>
      </c>
      <c r="V231" s="828"/>
      <c r="W231" s="829"/>
      <c r="AL231" s="15"/>
      <c r="AN231" s="542">
        <v>149</v>
      </c>
      <c r="AO231" s="828"/>
      <c r="AP231" s="829"/>
      <c r="BE231" s="15"/>
      <c r="BG231" s="542">
        <v>149</v>
      </c>
      <c r="BH231" s="828"/>
      <c r="BI231" s="829"/>
      <c r="BX231" s="15"/>
      <c r="BZ231" s="542">
        <v>149</v>
      </c>
      <c r="CA231" s="828"/>
      <c r="CB231" s="829"/>
      <c r="CQ231" s="15"/>
    </row>
    <row r="232" spans="2:95">
      <c r="B232" s="542">
        <v>150</v>
      </c>
      <c r="C232" s="828"/>
      <c r="D232" s="829"/>
      <c r="S232" s="15"/>
      <c r="U232" s="542">
        <v>150</v>
      </c>
      <c r="V232" s="828"/>
      <c r="W232" s="829"/>
      <c r="AL232" s="15"/>
      <c r="AN232" s="542">
        <v>150</v>
      </c>
      <c r="AO232" s="828"/>
      <c r="AP232" s="829"/>
      <c r="BE232" s="15"/>
      <c r="BG232" s="542">
        <v>150</v>
      </c>
      <c r="BH232" s="828"/>
      <c r="BI232" s="829"/>
      <c r="BX232" s="15"/>
      <c r="BZ232" s="542">
        <v>150</v>
      </c>
      <c r="CA232" s="828"/>
      <c r="CB232" s="829"/>
      <c r="CQ232" s="15"/>
    </row>
    <row r="233" spans="2:95">
      <c r="B233" s="542">
        <v>151</v>
      </c>
      <c r="C233" s="828"/>
      <c r="D233" s="829"/>
      <c r="S233" s="15"/>
      <c r="U233" s="542">
        <v>151</v>
      </c>
      <c r="V233" s="828"/>
      <c r="W233" s="829"/>
      <c r="AL233" s="15"/>
      <c r="AN233" s="542">
        <v>151</v>
      </c>
      <c r="AO233" s="828"/>
      <c r="AP233" s="829"/>
      <c r="BE233" s="15"/>
      <c r="BG233" s="542">
        <v>151</v>
      </c>
      <c r="BH233" s="828"/>
      <c r="BI233" s="829"/>
      <c r="BX233" s="15"/>
      <c r="BZ233" s="542">
        <v>151</v>
      </c>
      <c r="CA233" s="828"/>
      <c r="CB233" s="829"/>
      <c r="CQ233" s="15"/>
    </row>
    <row r="234" spans="2:95">
      <c r="B234" s="542">
        <v>152</v>
      </c>
      <c r="C234" s="828"/>
      <c r="D234" s="829"/>
      <c r="S234" s="15"/>
      <c r="U234" s="542">
        <v>152</v>
      </c>
      <c r="V234" s="828"/>
      <c r="W234" s="829"/>
      <c r="AL234" s="15"/>
      <c r="AN234" s="542">
        <v>152</v>
      </c>
      <c r="AO234" s="828"/>
      <c r="AP234" s="829"/>
      <c r="BE234" s="15"/>
      <c r="BG234" s="542">
        <v>152</v>
      </c>
      <c r="BH234" s="828"/>
      <c r="BI234" s="829"/>
      <c r="BX234" s="15"/>
      <c r="BZ234" s="542">
        <v>152</v>
      </c>
      <c r="CA234" s="828"/>
      <c r="CB234" s="829"/>
      <c r="CQ234" s="15"/>
    </row>
    <row r="235" spans="2:95">
      <c r="B235" s="542">
        <v>153</v>
      </c>
      <c r="C235" s="828"/>
      <c r="D235" s="829"/>
      <c r="S235" s="15"/>
      <c r="U235" s="542">
        <v>153</v>
      </c>
      <c r="V235" s="828"/>
      <c r="W235" s="829"/>
      <c r="AL235" s="15"/>
      <c r="AN235" s="542">
        <v>153</v>
      </c>
      <c r="AO235" s="828"/>
      <c r="AP235" s="829"/>
      <c r="BE235" s="15"/>
      <c r="BG235" s="542">
        <v>153</v>
      </c>
      <c r="BH235" s="828"/>
      <c r="BI235" s="829"/>
      <c r="BX235" s="15"/>
      <c r="BZ235" s="542">
        <v>153</v>
      </c>
      <c r="CA235" s="828"/>
      <c r="CB235" s="829"/>
      <c r="CQ235" s="15"/>
    </row>
    <row r="236" spans="2:95">
      <c r="B236" s="542">
        <v>154</v>
      </c>
      <c r="C236" s="828"/>
      <c r="D236" s="829"/>
      <c r="S236" s="15"/>
      <c r="U236" s="542">
        <v>154</v>
      </c>
      <c r="V236" s="828"/>
      <c r="W236" s="829"/>
      <c r="AL236" s="15"/>
      <c r="AN236" s="542">
        <v>154</v>
      </c>
      <c r="AO236" s="828"/>
      <c r="AP236" s="829"/>
      <c r="BE236" s="15"/>
      <c r="BG236" s="542">
        <v>154</v>
      </c>
      <c r="BH236" s="828"/>
      <c r="BI236" s="829"/>
      <c r="BX236" s="15"/>
      <c r="BZ236" s="542">
        <v>154</v>
      </c>
      <c r="CA236" s="828"/>
      <c r="CB236" s="829"/>
      <c r="CQ236" s="15"/>
    </row>
    <row r="237" spans="2:95">
      <c r="B237" s="542">
        <v>155</v>
      </c>
      <c r="C237" s="828"/>
      <c r="D237" s="829"/>
      <c r="S237" s="15"/>
      <c r="U237" s="542">
        <v>155</v>
      </c>
      <c r="V237" s="828"/>
      <c r="W237" s="829"/>
      <c r="AL237" s="15"/>
      <c r="AN237" s="542">
        <v>155</v>
      </c>
      <c r="AO237" s="828"/>
      <c r="AP237" s="829"/>
      <c r="BE237" s="15"/>
      <c r="BG237" s="542">
        <v>155</v>
      </c>
      <c r="BH237" s="828"/>
      <c r="BI237" s="829"/>
      <c r="BX237" s="15"/>
      <c r="BZ237" s="542">
        <v>155</v>
      </c>
      <c r="CA237" s="828"/>
      <c r="CB237" s="829"/>
      <c r="CQ237" s="15"/>
    </row>
    <row r="238" spans="2:95">
      <c r="B238" s="542">
        <v>156</v>
      </c>
      <c r="C238" s="828"/>
      <c r="D238" s="829"/>
      <c r="S238" s="15"/>
      <c r="U238" s="542">
        <v>156</v>
      </c>
      <c r="V238" s="828"/>
      <c r="W238" s="829"/>
      <c r="AL238" s="15"/>
      <c r="AN238" s="542">
        <v>156</v>
      </c>
      <c r="AO238" s="828"/>
      <c r="AP238" s="829"/>
      <c r="BE238" s="15"/>
      <c r="BG238" s="542">
        <v>156</v>
      </c>
      <c r="BH238" s="828"/>
      <c r="BI238" s="829"/>
      <c r="BX238" s="15"/>
      <c r="BZ238" s="542">
        <v>156</v>
      </c>
      <c r="CA238" s="828"/>
      <c r="CB238" s="829"/>
      <c r="CQ238" s="15"/>
    </row>
    <row r="239" spans="2:95">
      <c r="B239" s="542">
        <v>157</v>
      </c>
      <c r="C239" s="828"/>
      <c r="D239" s="829"/>
      <c r="S239" s="15"/>
      <c r="U239" s="542">
        <v>157</v>
      </c>
      <c r="V239" s="828"/>
      <c r="W239" s="829"/>
      <c r="AL239" s="15"/>
      <c r="AN239" s="542">
        <v>157</v>
      </c>
      <c r="AO239" s="828"/>
      <c r="AP239" s="829"/>
      <c r="BE239" s="15"/>
      <c r="BG239" s="542">
        <v>157</v>
      </c>
      <c r="BH239" s="828"/>
      <c r="BI239" s="829"/>
      <c r="BX239" s="15"/>
      <c r="BZ239" s="542">
        <v>157</v>
      </c>
      <c r="CA239" s="828"/>
      <c r="CB239" s="829"/>
      <c r="CQ239" s="15"/>
    </row>
    <row r="240" spans="2:95">
      <c r="B240" s="542">
        <v>158</v>
      </c>
      <c r="C240" s="828"/>
      <c r="D240" s="829"/>
      <c r="S240" s="15"/>
      <c r="U240" s="542">
        <v>158</v>
      </c>
      <c r="V240" s="828"/>
      <c r="W240" s="829"/>
      <c r="AL240" s="15"/>
      <c r="AN240" s="542">
        <v>158</v>
      </c>
      <c r="AO240" s="828"/>
      <c r="AP240" s="829"/>
      <c r="BE240" s="15"/>
      <c r="BG240" s="542">
        <v>158</v>
      </c>
      <c r="BH240" s="828"/>
      <c r="BI240" s="829"/>
      <c r="BX240" s="15"/>
      <c r="BZ240" s="542">
        <v>158</v>
      </c>
      <c r="CA240" s="828"/>
      <c r="CB240" s="829"/>
      <c r="CQ240" s="15"/>
    </row>
    <row r="241" spans="2:95">
      <c r="B241" s="542">
        <v>159</v>
      </c>
      <c r="C241" s="828"/>
      <c r="D241" s="829"/>
      <c r="S241" s="15"/>
      <c r="U241" s="542">
        <v>159</v>
      </c>
      <c r="V241" s="828"/>
      <c r="W241" s="829"/>
      <c r="AL241" s="15"/>
      <c r="AN241" s="542">
        <v>159</v>
      </c>
      <c r="AO241" s="828"/>
      <c r="AP241" s="829"/>
      <c r="BE241" s="15"/>
      <c r="BG241" s="542">
        <v>159</v>
      </c>
      <c r="BH241" s="828"/>
      <c r="BI241" s="829"/>
      <c r="BX241" s="15"/>
      <c r="BZ241" s="542">
        <v>159</v>
      </c>
      <c r="CA241" s="828"/>
      <c r="CB241" s="829"/>
      <c r="CQ241" s="15"/>
    </row>
    <row r="242" spans="2:95">
      <c r="B242" s="542">
        <v>160</v>
      </c>
      <c r="C242" s="828"/>
      <c r="D242" s="829"/>
      <c r="S242" s="15"/>
      <c r="U242" s="542">
        <v>160</v>
      </c>
      <c r="V242" s="828"/>
      <c r="W242" s="829"/>
      <c r="AL242" s="15"/>
      <c r="AN242" s="542">
        <v>160</v>
      </c>
      <c r="AO242" s="828"/>
      <c r="AP242" s="829"/>
      <c r="BE242" s="15"/>
      <c r="BG242" s="542">
        <v>160</v>
      </c>
      <c r="BH242" s="828"/>
      <c r="BI242" s="829"/>
      <c r="BX242" s="15"/>
      <c r="BZ242" s="542">
        <v>160</v>
      </c>
      <c r="CA242" s="828"/>
      <c r="CB242" s="829"/>
      <c r="CQ242" s="15"/>
    </row>
    <row r="243" spans="2:95">
      <c r="B243" s="542">
        <v>161</v>
      </c>
      <c r="C243" s="828"/>
      <c r="D243" s="829"/>
      <c r="S243" s="15"/>
      <c r="U243" s="542">
        <v>161</v>
      </c>
      <c r="V243" s="828"/>
      <c r="W243" s="829"/>
      <c r="AL243" s="15"/>
      <c r="AN243" s="542">
        <v>161</v>
      </c>
      <c r="AO243" s="828"/>
      <c r="AP243" s="829"/>
      <c r="BE243" s="15"/>
      <c r="BG243" s="542">
        <v>161</v>
      </c>
      <c r="BH243" s="828"/>
      <c r="BI243" s="829"/>
      <c r="BX243" s="15"/>
      <c r="BZ243" s="542">
        <v>161</v>
      </c>
      <c r="CA243" s="828"/>
      <c r="CB243" s="829"/>
      <c r="CQ243" s="15"/>
    </row>
    <row r="244" spans="2:95">
      <c r="B244" s="542">
        <v>162</v>
      </c>
      <c r="C244" s="828"/>
      <c r="D244" s="829"/>
      <c r="S244" s="15"/>
      <c r="U244" s="542">
        <v>162</v>
      </c>
      <c r="V244" s="828"/>
      <c r="W244" s="829"/>
      <c r="AL244" s="15"/>
      <c r="AN244" s="542">
        <v>162</v>
      </c>
      <c r="AO244" s="828"/>
      <c r="AP244" s="829"/>
      <c r="BE244" s="15"/>
      <c r="BG244" s="542">
        <v>162</v>
      </c>
      <c r="BH244" s="828"/>
      <c r="BI244" s="829"/>
      <c r="BX244" s="15"/>
      <c r="BZ244" s="542">
        <v>162</v>
      </c>
      <c r="CA244" s="828"/>
      <c r="CB244" s="829"/>
      <c r="CQ244" s="15"/>
    </row>
    <row r="245" spans="2:95">
      <c r="B245" s="542">
        <v>163</v>
      </c>
      <c r="C245" s="828"/>
      <c r="D245" s="829"/>
      <c r="S245" s="15"/>
      <c r="U245" s="542">
        <v>163</v>
      </c>
      <c r="V245" s="828"/>
      <c r="W245" s="829"/>
      <c r="AL245" s="15"/>
      <c r="AN245" s="542">
        <v>163</v>
      </c>
      <c r="AO245" s="828"/>
      <c r="AP245" s="829"/>
      <c r="BE245" s="15"/>
      <c r="BG245" s="542">
        <v>163</v>
      </c>
      <c r="BH245" s="828"/>
      <c r="BI245" s="829"/>
      <c r="BX245" s="15"/>
      <c r="BZ245" s="542">
        <v>163</v>
      </c>
      <c r="CA245" s="828"/>
      <c r="CB245" s="829"/>
      <c r="CQ245" s="15"/>
    </row>
    <row r="246" spans="2:95">
      <c r="B246" s="542">
        <v>164</v>
      </c>
      <c r="C246" s="828"/>
      <c r="D246" s="829"/>
      <c r="S246" s="15"/>
      <c r="U246" s="542">
        <v>164</v>
      </c>
      <c r="V246" s="828"/>
      <c r="W246" s="829"/>
      <c r="AL246" s="15"/>
      <c r="AN246" s="542">
        <v>164</v>
      </c>
      <c r="AO246" s="828"/>
      <c r="AP246" s="829"/>
      <c r="BE246" s="15"/>
      <c r="BG246" s="542">
        <v>164</v>
      </c>
      <c r="BH246" s="828"/>
      <c r="BI246" s="829"/>
      <c r="BX246" s="15"/>
      <c r="BZ246" s="542">
        <v>164</v>
      </c>
      <c r="CA246" s="828"/>
      <c r="CB246" s="829"/>
      <c r="CQ246" s="15"/>
    </row>
    <row r="247" spans="2:95">
      <c r="B247" s="542">
        <v>165</v>
      </c>
      <c r="C247" s="828"/>
      <c r="D247" s="829"/>
      <c r="S247" s="15"/>
      <c r="U247" s="542">
        <v>165</v>
      </c>
      <c r="V247" s="828"/>
      <c r="W247" s="829"/>
      <c r="AL247" s="15"/>
      <c r="AN247" s="542">
        <v>165</v>
      </c>
      <c r="AO247" s="828"/>
      <c r="AP247" s="829"/>
      <c r="BE247" s="15"/>
      <c r="BG247" s="542">
        <v>165</v>
      </c>
      <c r="BH247" s="828"/>
      <c r="BI247" s="829"/>
      <c r="BX247" s="15"/>
      <c r="BZ247" s="542">
        <v>165</v>
      </c>
      <c r="CA247" s="828"/>
      <c r="CB247" s="829"/>
      <c r="CQ247" s="15"/>
    </row>
    <row r="248" spans="2:95">
      <c r="B248" s="542">
        <v>166</v>
      </c>
      <c r="C248" s="828"/>
      <c r="D248" s="829"/>
      <c r="S248" s="15"/>
      <c r="U248" s="542">
        <v>166</v>
      </c>
      <c r="V248" s="828"/>
      <c r="W248" s="829"/>
      <c r="AL248" s="15"/>
      <c r="AN248" s="542">
        <v>166</v>
      </c>
      <c r="AO248" s="828"/>
      <c r="AP248" s="829"/>
      <c r="BE248" s="15"/>
      <c r="BG248" s="542">
        <v>166</v>
      </c>
      <c r="BH248" s="828"/>
      <c r="BI248" s="829"/>
      <c r="BX248" s="15"/>
      <c r="BZ248" s="542">
        <v>166</v>
      </c>
      <c r="CA248" s="828"/>
      <c r="CB248" s="829"/>
      <c r="CQ248" s="15"/>
    </row>
    <row r="249" spans="2:95">
      <c r="B249" s="542">
        <v>167</v>
      </c>
      <c r="C249" s="828"/>
      <c r="D249" s="829"/>
      <c r="S249" s="15"/>
      <c r="U249" s="542">
        <v>167</v>
      </c>
      <c r="V249" s="828"/>
      <c r="W249" s="829"/>
      <c r="AL249" s="15"/>
      <c r="AN249" s="542">
        <v>167</v>
      </c>
      <c r="AO249" s="828"/>
      <c r="AP249" s="829"/>
      <c r="BE249" s="15"/>
      <c r="BG249" s="542">
        <v>167</v>
      </c>
      <c r="BH249" s="828"/>
      <c r="BI249" s="829"/>
      <c r="BX249" s="15"/>
      <c r="BZ249" s="542">
        <v>167</v>
      </c>
      <c r="CA249" s="828"/>
      <c r="CB249" s="829"/>
      <c r="CQ249" s="15"/>
    </row>
    <row r="250" spans="2:95">
      <c r="B250" s="542">
        <v>168</v>
      </c>
      <c r="C250" s="828"/>
      <c r="D250" s="829"/>
      <c r="S250" s="15"/>
      <c r="U250" s="542">
        <v>168</v>
      </c>
      <c r="V250" s="828"/>
      <c r="W250" s="829"/>
      <c r="AL250" s="15"/>
      <c r="AN250" s="542">
        <v>168</v>
      </c>
      <c r="AO250" s="828"/>
      <c r="AP250" s="829"/>
      <c r="BE250" s="15"/>
      <c r="BG250" s="542">
        <v>168</v>
      </c>
      <c r="BH250" s="828"/>
      <c r="BI250" s="829"/>
      <c r="BX250" s="15"/>
      <c r="BZ250" s="542">
        <v>168</v>
      </c>
      <c r="CA250" s="828"/>
      <c r="CB250" s="829"/>
      <c r="CQ250" s="15"/>
    </row>
    <row r="251" spans="2:95">
      <c r="B251" s="542">
        <v>169</v>
      </c>
      <c r="C251" s="828"/>
      <c r="D251" s="829"/>
      <c r="S251" s="15"/>
      <c r="U251" s="542">
        <v>169</v>
      </c>
      <c r="V251" s="828"/>
      <c r="W251" s="829"/>
      <c r="AL251" s="15"/>
      <c r="AN251" s="542">
        <v>169</v>
      </c>
      <c r="AO251" s="828"/>
      <c r="AP251" s="829"/>
      <c r="BE251" s="15"/>
      <c r="BG251" s="542">
        <v>169</v>
      </c>
      <c r="BH251" s="828"/>
      <c r="BI251" s="829"/>
      <c r="BX251" s="15"/>
      <c r="BZ251" s="542">
        <v>169</v>
      </c>
      <c r="CA251" s="828"/>
      <c r="CB251" s="829"/>
      <c r="CQ251" s="15"/>
    </row>
    <row r="252" spans="2:95">
      <c r="B252" s="542">
        <v>170</v>
      </c>
      <c r="C252" s="828"/>
      <c r="D252" s="829"/>
      <c r="S252" s="15"/>
      <c r="U252" s="542">
        <v>170</v>
      </c>
      <c r="V252" s="828"/>
      <c r="W252" s="829"/>
      <c r="AL252" s="15"/>
      <c r="AN252" s="542">
        <v>170</v>
      </c>
      <c r="AO252" s="828"/>
      <c r="AP252" s="829"/>
      <c r="BE252" s="15"/>
      <c r="BG252" s="542">
        <v>170</v>
      </c>
      <c r="BH252" s="828"/>
      <c r="BI252" s="829"/>
      <c r="BX252" s="15"/>
      <c r="BZ252" s="542">
        <v>170</v>
      </c>
      <c r="CA252" s="828"/>
      <c r="CB252" s="829"/>
      <c r="CQ252" s="15"/>
    </row>
    <row r="253" spans="2:95">
      <c r="B253" s="542">
        <v>171</v>
      </c>
      <c r="C253" s="828"/>
      <c r="D253" s="829"/>
      <c r="S253" s="15"/>
      <c r="U253" s="542">
        <v>171</v>
      </c>
      <c r="V253" s="828"/>
      <c r="W253" s="829"/>
      <c r="AL253" s="15"/>
      <c r="AN253" s="542">
        <v>171</v>
      </c>
      <c r="AO253" s="828"/>
      <c r="AP253" s="829"/>
      <c r="BE253" s="15"/>
      <c r="BG253" s="542">
        <v>171</v>
      </c>
      <c r="BH253" s="828"/>
      <c r="BI253" s="829"/>
      <c r="BX253" s="15"/>
      <c r="BZ253" s="542">
        <v>171</v>
      </c>
      <c r="CA253" s="828"/>
      <c r="CB253" s="829"/>
      <c r="CQ253" s="15"/>
    </row>
    <row r="254" spans="2:95">
      <c r="B254" s="542">
        <v>172</v>
      </c>
      <c r="C254" s="828"/>
      <c r="D254" s="830"/>
      <c r="S254" s="15"/>
      <c r="U254" s="542">
        <v>172</v>
      </c>
      <c r="V254" s="828"/>
      <c r="W254" s="830"/>
      <c r="AL254" s="15"/>
      <c r="AN254" s="542">
        <v>172</v>
      </c>
      <c r="AO254" s="828"/>
      <c r="AP254" s="830"/>
      <c r="BE254" s="15"/>
      <c r="BG254" s="542">
        <v>172</v>
      </c>
      <c r="BH254" s="828"/>
      <c r="BI254" s="830"/>
      <c r="BX254" s="15"/>
      <c r="BZ254" s="542">
        <v>172</v>
      </c>
      <c r="CA254" s="828"/>
      <c r="CB254" s="830"/>
      <c r="CQ254" s="15"/>
    </row>
    <row r="255" spans="2:95">
      <c r="B255" s="542">
        <v>173</v>
      </c>
      <c r="C255" s="831"/>
      <c r="D255" s="830"/>
      <c r="S255" s="15"/>
      <c r="U255" s="542">
        <v>173</v>
      </c>
      <c r="V255" s="831"/>
      <c r="W255" s="830"/>
      <c r="AL255" s="15"/>
      <c r="AN255" s="542">
        <v>173</v>
      </c>
      <c r="AO255" s="831"/>
      <c r="AP255" s="830"/>
      <c r="BE255" s="15"/>
      <c r="BG255" s="542">
        <v>173</v>
      </c>
      <c r="BH255" s="831"/>
      <c r="BI255" s="830"/>
      <c r="BX255" s="15"/>
      <c r="BZ255" s="542">
        <v>173</v>
      </c>
      <c r="CA255" s="831"/>
      <c r="CB255" s="830"/>
      <c r="CQ255" s="15"/>
    </row>
    <row r="256" spans="2:95">
      <c r="B256" s="542">
        <v>174</v>
      </c>
      <c r="C256" s="831"/>
      <c r="D256" s="830"/>
      <c r="S256" s="15"/>
      <c r="U256" s="542">
        <v>174</v>
      </c>
      <c r="V256" s="831"/>
      <c r="W256" s="830"/>
      <c r="AL256" s="15"/>
      <c r="AN256" s="542">
        <v>174</v>
      </c>
      <c r="AO256" s="831"/>
      <c r="AP256" s="830"/>
      <c r="BE256" s="15"/>
      <c r="BG256" s="542">
        <v>174</v>
      </c>
      <c r="BH256" s="831"/>
      <c r="BI256" s="830"/>
      <c r="BX256" s="15"/>
      <c r="BZ256" s="542">
        <v>174</v>
      </c>
      <c r="CA256" s="831"/>
      <c r="CB256" s="830"/>
      <c r="CQ256" s="15"/>
    </row>
    <row r="257" spans="2:95">
      <c r="B257" s="542">
        <v>175</v>
      </c>
      <c r="C257" s="831"/>
      <c r="D257" s="830"/>
      <c r="S257" s="15"/>
      <c r="U257" s="542">
        <v>175</v>
      </c>
      <c r="V257" s="831"/>
      <c r="W257" s="830"/>
      <c r="AL257" s="15"/>
      <c r="AN257" s="542">
        <v>175</v>
      </c>
      <c r="AO257" s="831"/>
      <c r="AP257" s="830"/>
      <c r="BE257" s="15"/>
      <c r="BG257" s="542">
        <v>175</v>
      </c>
      <c r="BH257" s="831"/>
      <c r="BI257" s="830"/>
      <c r="BX257" s="15"/>
      <c r="BZ257" s="542">
        <v>175</v>
      </c>
      <c r="CA257" s="831"/>
      <c r="CB257" s="830"/>
      <c r="CQ257" s="15"/>
    </row>
    <row r="258" spans="2:95">
      <c r="B258" s="542">
        <v>176</v>
      </c>
      <c r="C258" s="831"/>
      <c r="D258" s="830"/>
      <c r="S258" s="15"/>
      <c r="U258" s="542">
        <v>176</v>
      </c>
      <c r="V258" s="831"/>
      <c r="W258" s="830"/>
      <c r="AL258" s="15"/>
      <c r="AN258" s="542">
        <v>176</v>
      </c>
      <c r="AO258" s="831"/>
      <c r="AP258" s="830"/>
      <c r="BE258" s="15"/>
      <c r="BG258" s="542">
        <v>176</v>
      </c>
      <c r="BH258" s="831"/>
      <c r="BI258" s="830"/>
      <c r="BX258" s="15"/>
      <c r="BZ258" s="542">
        <v>176</v>
      </c>
      <c r="CA258" s="831"/>
      <c r="CB258" s="830"/>
      <c r="CQ258" s="15"/>
    </row>
    <row r="259" spans="2:95">
      <c r="B259" s="542">
        <v>177</v>
      </c>
      <c r="C259" s="831"/>
      <c r="D259" s="830"/>
      <c r="S259" s="15"/>
      <c r="U259" s="542">
        <v>177</v>
      </c>
      <c r="V259" s="831"/>
      <c r="W259" s="830"/>
      <c r="AL259" s="15"/>
      <c r="AN259" s="542">
        <v>177</v>
      </c>
      <c r="AO259" s="831"/>
      <c r="AP259" s="830"/>
      <c r="BE259" s="15"/>
      <c r="BG259" s="542">
        <v>177</v>
      </c>
      <c r="BH259" s="831"/>
      <c r="BI259" s="830"/>
      <c r="BX259" s="15"/>
      <c r="BZ259" s="542">
        <v>177</v>
      </c>
      <c r="CA259" s="831"/>
      <c r="CB259" s="830"/>
      <c r="CQ259" s="15"/>
    </row>
    <row r="260" spans="2:95">
      <c r="B260" s="542">
        <v>178</v>
      </c>
      <c r="C260" s="831"/>
      <c r="D260" s="830"/>
      <c r="S260" s="15"/>
      <c r="U260" s="542">
        <v>178</v>
      </c>
      <c r="V260" s="831"/>
      <c r="W260" s="830"/>
      <c r="AL260" s="15"/>
      <c r="AN260" s="542">
        <v>178</v>
      </c>
      <c r="AO260" s="831"/>
      <c r="AP260" s="830"/>
      <c r="BE260" s="15"/>
      <c r="BG260" s="542">
        <v>178</v>
      </c>
      <c r="BH260" s="831"/>
      <c r="BI260" s="830"/>
      <c r="BX260" s="15"/>
      <c r="BZ260" s="542">
        <v>178</v>
      </c>
      <c r="CA260" s="831"/>
      <c r="CB260" s="830"/>
      <c r="CQ260" s="15"/>
    </row>
    <row r="261" spans="2:95">
      <c r="B261" s="542">
        <v>179</v>
      </c>
      <c r="C261" s="831"/>
      <c r="D261" s="830"/>
      <c r="S261" s="15"/>
      <c r="U261" s="542">
        <v>179</v>
      </c>
      <c r="V261" s="831"/>
      <c r="W261" s="830"/>
      <c r="AL261" s="15"/>
      <c r="AN261" s="542">
        <v>179</v>
      </c>
      <c r="AO261" s="831"/>
      <c r="AP261" s="830"/>
      <c r="BE261" s="15"/>
      <c r="BG261" s="542">
        <v>179</v>
      </c>
      <c r="BH261" s="831"/>
      <c r="BI261" s="830"/>
      <c r="BX261" s="15"/>
      <c r="BZ261" s="542">
        <v>179</v>
      </c>
      <c r="CA261" s="831"/>
      <c r="CB261" s="830"/>
      <c r="CQ261" s="15"/>
    </row>
    <row r="262" spans="2:95">
      <c r="B262" s="542">
        <v>180</v>
      </c>
      <c r="C262" s="831"/>
      <c r="D262" s="830"/>
      <c r="S262" s="15"/>
      <c r="U262" s="542">
        <v>180</v>
      </c>
      <c r="V262" s="831"/>
      <c r="W262" s="830"/>
      <c r="AL262" s="15"/>
      <c r="AN262" s="542">
        <v>180</v>
      </c>
      <c r="AO262" s="831"/>
      <c r="AP262" s="830"/>
      <c r="BE262" s="15"/>
      <c r="BG262" s="542">
        <v>180</v>
      </c>
      <c r="BH262" s="831"/>
      <c r="BI262" s="830"/>
      <c r="BX262" s="15"/>
      <c r="BZ262" s="542">
        <v>180</v>
      </c>
      <c r="CA262" s="831"/>
      <c r="CB262" s="830"/>
      <c r="CQ262" s="15"/>
    </row>
    <row r="263" spans="2:95">
      <c r="B263" s="542">
        <v>181</v>
      </c>
      <c r="C263" s="831"/>
      <c r="D263" s="830"/>
      <c r="S263" s="15"/>
      <c r="U263" s="542">
        <v>181</v>
      </c>
      <c r="V263" s="831"/>
      <c r="W263" s="830"/>
      <c r="AL263" s="15"/>
      <c r="AN263" s="542">
        <v>181</v>
      </c>
      <c r="AO263" s="831"/>
      <c r="AP263" s="830"/>
      <c r="BE263" s="15"/>
      <c r="BG263" s="542">
        <v>181</v>
      </c>
      <c r="BH263" s="831"/>
      <c r="BI263" s="830"/>
      <c r="BX263" s="15"/>
      <c r="BZ263" s="542">
        <v>181</v>
      </c>
      <c r="CA263" s="831"/>
      <c r="CB263" s="830"/>
      <c r="CQ263" s="15"/>
    </row>
    <row r="264" spans="2:95">
      <c r="B264" s="542">
        <v>182</v>
      </c>
      <c r="C264" s="831"/>
      <c r="D264" s="830"/>
      <c r="S264" s="15"/>
      <c r="U264" s="542">
        <v>182</v>
      </c>
      <c r="V264" s="831"/>
      <c r="W264" s="830"/>
      <c r="AL264" s="15"/>
      <c r="AN264" s="542">
        <v>182</v>
      </c>
      <c r="AO264" s="831"/>
      <c r="AP264" s="830"/>
      <c r="BE264" s="15"/>
      <c r="BG264" s="542">
        <v>182</v>
      </c>
      <c r="BH264" s="831"/>
      <c r="BI264" s="830"/>
      <c r="BX264" s="15"/>
      <c r="BZ264" s="542">
        <v>182</v>
      </c>
      <c r="CA264" s="831"/>
      <c r="CB264" s="830"/>
      <c r="CQ264" s="15"/>
    </row>
    <row r="265" spans="2:95">
      <c r="B265" s="542">
        <v>183</v>
      </c>
      <c r="C265" s="831"/>
      <c r="D265" s="830"/>
      <c r="S265" s="15"/>
      <c r="U265" s="542">
        <v>183</v>
      </c>
      <c r="V265" s="831"/>
      <c r="W265" s="830"/>
      <c r="AL265" s="15"/>
      <c r="AN265" s="542">
        <v>183</v>
      </c>
      <c r="AO265" s="831"/>
      <c r="AP265" s="830"/>
      <c r="BE265" s="15"/>
      <c r="BG265" s="542">
        <v>183</v>
      </c>
      <c r="BH265" s="831"/>
      <c r="BI265" s="830"/>
      <c r="BX265" s="15"/>
      <c r="BZ265" s="542">
        <v>183</v>
      </c>
      <c r="CA265" s="831"/>
      <c r="CB265" s="830"/>
      <c r="CQ265" s="15"/>
    </row>
    <row r="266" spans="2:95">
      <c r="B266" s="542">
        <v>184</v>
      </c>
      <c r="C266" s="831"/>
      <c r="D266" s="830"/>
      <c r="S266" s="15"/>
      <c r="U266" s="542">
        <v>184</v>
      </c>
      <c r="V266" s="831"/>
      <c r="W266" s="830"/>
      <c r="AL266" s="15"/>
      <c r="AN266" s="542">
        <v>184</v>
      </c>
      <c r="AO266" s="831"/>
      <c r="AP266" s="830"/>
      <c r="BE266" s="15"/>
      <c r="BG266" s="542">
        <v>184</v>
      </c>
      <c r="BH266" s="831"/>
      <c r="BI266" s="830"/>
      <c r="BX266" s="15"/>
      <c r="BZ266" s="542">
        <v>184</v>
      </c>
      <c r="CA266" s="831"/>
      <c r="CB266" s="830"/>
      <c r="CQ266" s="15"/>
    </row>
    <row r="267" spans="2:95">
      <c r="B267" s="542">
        <v>185</v>
      </c>
      <c r="C267" s="831"/>
      <c r="D267" s="830"/>
      <c r="S267" s="15"/>
      <c r="U267" s="542">
        <v>185</v>
      </c>
      <c r="V267" s="831"/>
      <c r="W267" s="830"/>
      <c r="AL267" s="15"/>
      <c r="AN267" s="542">
        <v>185</v>
      </c>
      <c r="AO267" s="831"/>
      <c r="AP267" s="830"/>
      <c r="BE267" s="15"/>
      <c r="BG267" s="542">
        <v>185</v>
      </c>
      <c r="BH267" s="831"/>
      <c r="BI267" s="830"/>
      <c r="BX267" s="15"/>
      <c r="BZ267" s="542">
        <v>185</v>
      </c>
      <c r="CA267" s="831"/>
      <c r="CB267" s="830"/>
      <c r="CQ267" s="15"/>
    </row>
    <row r="268" spans="2:95">
      <c r="B268" s="542">
        <v>186</v>
      </c>
      <c r="C268" s="831"/>
      <c r="D268" s="830"/>
      <c r="S268" s="15"/>
      <c r="U268" s="542">
        <v>186</v>
      </c>
      <c r="V268" s="831"/>
      <c r="W268" s="830"/>
      <c r="AL268" s="15"/>
      <c r="AN268" s="542">
        <v>186</v>
      </c>
      <c r="AO268" s="831"/>
      <c r="AP268" s="830"/>
      <c r="BE268" s="15"/>
      <c r="BG268" s="542">
        <v>186</v>
      </c>
      <c r="BH268" s="831"/>
      <c r="BI268" s="830"/>
      <c r="BX268" s="15"/>
      <c r="BZ268" s="542">
        <v>186</v>
      </c>
      <c r="CA268" s="831"/>
      <c r="CB268" s="830"/>
      <c r="CQ268" s="15"/>
    </row>
    <row r="269" spans="2:95">
      <c r="B269" s="542">
        <v>187</v>
      </c>
      <c r="C269" s="831"/>
      <c r="D269" s="830"/>
      <c r="S269" s="15"/>
      <c r="U269" s="542">
        <v>187</v>
      </c>
      <c r="V269" s="831"/>
      <c r="W269" s="830"/>
      <c r="AL269" s="15"/>
      <c r="AN269" s="542">
        <v>187</v>
      </c>
      <c r="AO269" s="831"/>
      <c r="AP269" s="830"/>
      <c r="BE269" s="15"/>
      <c r="BG269" s="542">
        <v>187</v>
      </c>
      <c r="BH269" s="831"/>
      <c r="BI269" s="830"/>
      <c r="BX269" s="15"/>
      <c r="BZ269" s="542">
        <v>187</v>
      </c>
      <c r="CA269" s="831"/>
      <c r="CB269" s="830"/>
      <c r="CQ269" s="15"/>
    </row>
    <row r="270" spans="2:95">
      <c r="B270" s="542">
        <v>188</v>
      </c>
      <c r="C270" s="831"/>
      <c r="D270" s="830"/>
      <c r="S270" s="15"/>
      <c r="U270" s="542">
        <v>188</v>
      </c>
      <c r="V270" s="831"/>
      <c r="W270" s="830"/>
      <c r="AL270" s="15"/>
      <c r="AN270" s="542">
        <v>188</v>
      </c>
      <c r="AO270" s="831"/>
      <c r="AP270" s="830"/>
      <c r="BE270" s="15"/>
      <c r="BG270" s="542">
        <v>188</v>
      </c>
      <c r="BH270" s="831"/>
      <c r="BI270" s="830"/>
      <c r="BX270" s="15"/>
      <c r="BZ270" s="542">
        <v>188</v>
      </c>
      <c r="CA270" s="831"/>
      <c r="CB270" s="830"/>
      <c r="CQ270" s="15"/>
    </row>
    <row r="271" spans="2:95">
      <c r="B271" s="542">
        <v>189</v>
      </c>
      <c r="C271" s="831"/>
      <c r="D271" s="830"/>
      <c r="S271" s="15"/>
      <c r="U271" s="542">
        <v>189</v>
      </c>
      <c r="V271" s="831"/>
      <c r="W271" s="830"/>
      <c r="AL271" s="15"/>
      <c r="AN271" s="542">
        <v>189</v>
      </c>
      <c r="AO271" s="831"/>
      <c r="AP271" s="830"/>
      <c r="BE271" s="15"/>
      <c r="BG271" s="542">
        <v>189</v>
      </c>
      <c r="BH271" s="831"/>
      <c r="BI271" s="830"/>
      <c r="BX271" s="15"/>
      <c r="BZ271" s="542">
        <v>189</v>
      </c>
      <c r="CA271" s="831"/>
      <c r="CB271" s="830"/>
      <c r="CQ271" s="15"/>
    </row>
    <row r="272" spans="2:95">
      <c r="B272" s="542">
        <v>190</v>
      </c>
      <c r="C272" s="831"/>
      <c r="D272" s="830"/>
      <c r="S272" s="15"/>
      <c r="U272" s="542">
        <v>190</v>
      </c>
      <c r="V272" s="831"/>
      <c r="W272" s="830"/>
      <c r="AL272" s="15"/>
      <c r="AN272" s="542">
        <v>190</v>
      </c>
      <c r="AO272" s="831"/>
      <c r="AP272" s="830"/>
      <c r="BE272" s="15"/>
      <c r="BG272" s="542">
        <v>190</v>
      </c>
      <c r="BH272" s="831"/>
      <c r="BI272" s="830"/>
      <c r="BX272" s="15"/>
      <c r="BZ272" s="542">
        <v>190</v>
      </c>
      <c r="CA272" s="831"/>
      <c r="CB272" s="830"/>
      <c r="CQ272" s="15"/>
    </row>
    <row r="273" spans="2:95">
      <c r="B273" s="542">
        <v>191</v>
      </c>
      <c r="C273" s="831"/>
      <c r="D273" s="830"/>
      <c r="S273" s="15"/>
      <c r="U273" s="542">
        <v>191</v>
      </c>
      <c r="V273" s="831"/>
      <c r="W273" s="830"/>
      <c r="AL273" s="15"/>
      <c r="AN273" s="542">
        <v>191</v>
      </c>
      <c r="AO273" s="831"/>
      <c r="AP273" s="830"/>
      <c r="BE273" s="15"/>
      <c r="BG273" s="542">
        <v>191</v>
      </c>
      <c r="BH273" s="831"/>
      <c r="BI273" s="830"/>
      <c r="BX273" s="15"/>
      <c r="BZ273" s="542">
        <v>191</v>
      </c>
      <c r="CA273" s="831"/>
      <c r="CB273" s="830"/>
      <c r="CQ273" s="15"/>
    </row>
    <row r="274" spans="2:95">
      <c r="B274" s="542">
        <v>192</v>
      </c>
      <c r="C274" s="831"/>
      <c r="D274" s="830"/>
      <c r="S274" s="15"/>
      <c r="U274" s="542">
        <v>192</v>
      </c>
      <c r="V274" s="831"/>
      <c r="W274" s="830"/>
      <c r="AL274" s="15"/>
      <c r="AN274" s="542">
        <v>192</v>
      </c>
      <c r="AO274" s="831"/>
      <c r="AP274" s="830"/>
      <c r="BE274" s="15"/>
      <c r="BG274" s="542">
        <v>192</v>
      </c>
      <c r="BH274" s="831"/>
      <c r="BI274" s="830"/>
      <c r="BX274" s="15"/>
      <c r="BZ274" s="542">
        <v>192</v>
      </c>
      <c r="CA274" s="831"/>
      <c r="CB274" s="830"/>
      <c r="CQ274" s="15"/>
    </row>
    <row r="275" spans="2:95">
      <c r="B275" s="542">
        <v>193</v>
      </c>
      <c r="C275" s="831"/>
      <c r="D275" s="830"/>
      <c r="S275" s="15"/>
      <c r="U275" s="542">
        <v>193</v>
      </c>
      <c r="V275" s="831"/>
      <c r="W275" s="830"/>
      <c r="AL275" s="15"/>
      <c r="AN275" s="542">
        <v>193</v>
      </c>
      <c r="AO275" s="831"/>
      <c r="AP275" s="830"/>
      <c r="BE275" s="15"/>
      <c r="BG275" s="542">
        <v>193</v>
      </c>
      <c r="BH275" s="831"/>
      <c r="BI275" s="830"/>
      <c r="BX275" s="15"/>
      <c r="BZ275" s="542">
        <v>193</v>
      </c>
      <c r="CA275" s="831"/>
      <c r="CB275" s="830"/>
      <c r="CQ275" s="15"/>
    </row>
    <row r="276" spans="2:95">
      <c r="B276" s="542">
        <v>194</v>
      </c>
      <c r="C276" s="831"/>
      <c r="D276" s="830"/>
      <c r="S276" s="15"/>
      <c r="U276" s="542">
        <v>194</v>
      </c>
      <c r="V276" s="831"/>
      <c r="W276" s="830"/>
      <c r="AL276" s="15"/>
      <c r="AN276" s="542">
        <v>194</v>
      </c>
      <c r="AO276" s="831"/>
      <c r="AP276" s="830"/>
      <c r="BE276" s="15"/>
      <c r="BG276" s="542">
        <v>194</v>
      </c>
      <c r="BH276" s="831"/>
      <c r="BI276" s="830"/>
      <c r="BX276" s="15"/>
      <c r="BZ276" s="542">
        <v>194</v>
      </c>
      <c r="CA276" s="831"/>
      <c r="CB276" s="830"/>
      <c r="CQ276" s="15"/>
    </row>
    <row r="277" spans="2:95">
      <c r="B277" s="542">
        <v>195</v>
      </c>
      <c r="C277" s="831"/>
      <c r="D277" s="830"/>
      <c r="S277" s="15"/>
      <c r="U277" s="542">
        <v>195</v>
      </c>
      <c r="V277" s="831"/>
      <c r="W277" s="830"/>
      <c r="AL277" s="15"/>
      <c r="AN277" s="542">
        <v>195</v>
      </c>
      <c r="AO277" s="831"/>
      <c r="AP277" s="830"/>
      <c r="BE277" s="15"/>
      <c r="BG277" s="542">
        <v>195</v>
      </c>
      <c r="BH277" s="831"/>
      <c r="BI277" s="830"/>
      <c r="BX277" s="15"/>
      <c r="BZ277" s="542">
        <v>195</v>
      </c>
      <c r="CA277" s="831"/>
      <c r="CB277" s="830"/>
      <c r="CQ277" s="15"/>
    </row>
    <row r="278" spans="2:95">
      <c r="B278" s="542">
        <v>196</v>
      </c>
      <c r="C278" s="831"/>
      <c r="D278" s="830"/>
      <c r="S278" s="15"/>
      <c r="U278" s="542">
        <v>196</v>
      </c>
      <c r="V278" s="831"/>
      <c r="W278" s="830"/>
      <c r="AL278" s="15"/>
      <c r="AN278" s="542">
        <v>196</v>
      </c>
      <c r="AO278" s="831"/>
      <c r="AP278" s="830"/>
      <c r="BE278" s="15"/>
      <c r="BG278" s="542">
        <v>196</v>
      </c>
      <c r="BH278" s="831"/>
      <c r="BI278" s="830"/>
      <c r="BX278" s="15"/>
      <c r="BZ278" s="542">
        <v>196</v>
      </c>
      <c r="CA278" s="831"/>
      <c r="CB278" s="830"/>
      <c r="CQ278" s="15"/>
    </row>
    <row r="279" spans="2:95">
      <c r="B279" s="542">
        <v>197</v>
      </c>
      <c r="C279" s="831"/>
      <c r="D279" s="830"/>
      <c r="S279" s="15"/>
      <c r="U279" s="542">
        <v>197</v>
      </c>
      <c r="V279" s="831"/>
      <c r="W279" s="830"/>
      <c r="AL279" s="15"/>
      <c r="AN279" s="542">
        <v>197</v>
      </c>
      <c r="AO279" s="831"/>
      <c r="AP279" s="830"/>
      <c r="BE279" s="15"/>
      <c r="BG279" s="542">
        <v>197</v>
      </c>
      <c r="BH279" s="831"/>
      <c r="BI279" s="830"/>
      <c r="BX279" s="15"/>
      <c r="BZ279" s="542">
        <v>197</v>
      </c>
      <c r="CA279" s="831"/>
      <c r="CB279" s="830"/>
      <c r="CQ279" s="15"/>
    </row>
    <row r="280" spans="2:95">
      <c r="B280" s="542">
        <v>198</v>
      </c>
      <c r="C280" s="831"/>
      <c r="D280" s="830"/>
      <c r="S280" s="15"/>
      <c r="U280" s="542">
        <v>198</v>
      </c>
      <c r="V280" s="831"/>
      <c r="W280" s="830"/>
      <c r="AL280" s="15"/>
      <c r="AN280" s="542">
        <v>198</v>
      </c>
      <c r="AO280" s="831"/>
      <c r="AP280" s="830"/>
      <c r="BE280" s="15"/>
      <c r="BG280" s="542">
        <v>198</v>
      </c>
      <c r="BH280" s="831"/>
      <c r="BI280" s="830"/>
      <c r="BX280" s="15"/>
      <c r="BZ280" s="542">
        <v>198</v>
      </c>
      <c r="CA280" s="831"/>
      <c r="CB280" s="830"/>
      <c r="CQ280" s="15"/>
    </row>
    <row r="281" spans="2:95">
      <c r="B281" s="542">
        <v>199</v>
      </c>
      <c r="C281" s="831"/>
      <c r="D281" s="830"/>
      <c r="S281" s="15"/>
      <c r="U281" s="542">
        <v>199</v>
      </c>
      <c r="V281" s="831"/>
      <c r="W281" s="830"/>
      <c r="AL281" s="15"/>
      <c r="AN281" s="542">
        <v>199</v>
      </c>
      <c r="AO281" s="831"/>
      <c r="AP281" s="830"/>
      <c r="BE281" s="15"/>
      <c r="BG281" s="542">
        <v>199</v>
      </c>
      <c r="BH281" s="831"/>
      <c r="BI281" s="830"/>
      <c r="BX281" s="15"/>
      <c r="BZ281" s="542">
        <v>199</v>
      </c>
      <c r="CA281" s="831"/>
      <c r="CB281" s="830"/>
      <c r="CQ281" s="15"/>
    </row>
    <row r="282" spans="2:95">
      <c r="B282" s="542">
        <v>200</v>
      </c>
      <c r="C282" s="831"/>
      <c r="D282" s="830"/>
      <c r="S282" s="15"/>
      <c r="U282" s="542">
        <v>200</v>
      </c>
      <c r="V282" s="831"/>
      <c r="W282" s="830"/>
      <c r="AL282" s="15"/>
      <c r="AN282" s="542">
        <v>200</v>
      </c>
      <c r="AO282" s="831"/>
      <c r="AP282" s="830"/>
      <c r="BE282" s="15"/>
      <c r="BG282" s="542">
        <v>200</v>
      </c>
      <c r="BH282" s="831"/>
      <c r="BI282" s="830"/>
      <c r="BX282" s="15"/>
      <c r="BZ282" s="542">
        <v>200</v>
      </c>
      <c r="CA282" s="831"/>
      <c r="CB282" s="830"/>
      <c r="CQ282" s="15"/>
    </row>
    <row r="283" spans="2:95">
      <c r="B283" s="542">
        <v>201</v>
      </c>
      <c r="C283" s="831"/>
      <c r="D283" s="830"/>
      <c r="S283" s="15"/>
      <c r="U283" s="542">
        <v>201</v>
      </c>
      <c r="V283" s="831"/>
      <c r="W283" s="830"/>
      <c r="AL283" s="15"/>
      <c r="AN283" s="542">
        <v>201</v>
      </c>
      <c r="AO283" s="831"/>
      <c r="AP283" s="830"/>
      <c r="BE283" s="15"/>
      <c r="BG283" s="542">
        <v>201</v>
      </c>
      <c r="BH283" s="831"/>
      <c r="BI283" s="830"/>
      <c r="BX283" s="15"/>
      <c r="BZ283" s="542">
        <v>201</v>
      </c>
      <c r="CA283" s="831"/>
      <c r="CB283" s="830"/>
      <c r="CQ283" s="15"/>
    </row>
    <row r="284" spans="2:95">
      <c r="B284" s="542">
        <v>202</v>
      </c>
      <c r="C284" s="831"/>
      <c r="D284" s="830"/>
      <c r="S284" s="15"/>
      <c r="U284" s="542">
        <v>202</v>
      </c>
      <c r="V284" s="831"/>
      <c r="W284" s="830"/>
      <c r="AL284" s="15"/>
      <c r="AN284" s="542">
        <v>202</v>
      </c>
      <c r="AO284" s="831"/>
      <c r="AP284" s="830"/>
      <c r="BE284" s="15"/>
      <c r="BG284" s="542">
        <v>202</v>
      </c>
      <c r="BH284" s="831"/>
      <c r="BI284" s="830"/>
      <c r="BX284" s="15"/>
      <c r="BZ284" s="542">
        <v>202</v>
      </c>
      <c r="CA284" s="831"/>
      <c r="CB284" s="830"/>
      <c r="CQ284" s="15"/>
    </row>
    <row r="285" spans="2:95">
      <c r="B285" s="542">
        <v>203</v>
      </c>
      <c r="C285" s="831"/>
      <c r="D285" s="830"/>
      <c r="S285" s="15"/>
      <c r="U285" s="542">
        <v>203</v>
      </c>
      <c r="V285" s="831"/>
      <c r="W285" s="830"/>
      <c r="AL285" s="15"/>
      <c r="AN285" s="542">
        <v>203</v>
      </c>
      <c r="AO285" s="831"/>
      <c r="AP285" s="830"/>
      <c r="BE285" s="15"/>
      <c r="BG285" s="542">
        <v>203</v>
      </c>
      <c r="BH285" s="831"/>
      <c r="BI285" s="830"/>
      <c r="BX285" s="15"/>
      <c r="BZ285" s="542">
        <v>203</v>
      </c>
      <c r="CA285" s="831"/>
      <c r="CB285" s="830"/>
      <c r="CQ285" s="15"/>
    </row>
    <row r="286" spans="2:95">
      <c r="B286" s="542">
        <v>204</v>
      </c>
      <c r="C286" s="831"/>
      <c r="D286" s="830"/>
      <c r="S286" s="15"/>
      <c r="U286" s="542">
        <v>204</v>
      </c>
      <c r="V286" s="831"/>
      <c r="W286" s="830"/>
      <c r="AL286" s="15"/>
      <c r="AN286" s="542">
        <v>204</v>
      </c>
      <c r="AO286" s="831"/>
      <c r="AP286" s="830"/>
      <c r="BE286" s="15"/>
      <c r="BG286" s="542">
        <v>204</v>
      </c>
      <c r="BH286" s="831"/>
      <c r="BI286" s="830"/>
      <c r="BX286" s="15"/>
      <c r="BZ286" s="542">
        <v>204</v>
      </c>
      <c r="CA286" s="831"/>
      <c r="CB286" s="830"/>
      <c r="CQ286" s="15"/>
    </row>
    <row r="287" spans="2:95">
      <c r="B287" s="542">
        <v>205</v>
      </c>
      <c r="C287" s="831"/>
      <c r="D287" s="830"/>
      <c r="S287" s="15"/>
      <c r="U287" s="542">
        <v>205</v>
      </c>
      <c r="V287" s="831"/>
      <c r="W287" s="830"/>
      <c r="AL287" s="15"/>
      <c r="AN287" s="542">
        <v>205</v>
      </c>
      <c r="AO287" s="831"/>
      <c r="AP287" s="830"/>
      <c r="BE287" s="15"/>
      <c r="BG287" s="542">
        <v>205</v>
      </c>
      <c r="BH287" s="831"/>
      <c r="BI287" s="830"/>
      <c r="BX287" s="15"/>
      <c r="BZ287" s="542">
        <v>205</v>
      </c>
      <c r="CA287" s="831"/>
      <c r="CB287" s="830"/>
      <c r="CQ287" s="15"/>
    </row>
    <row r="288" spans="2:95">
      <c r="B288" s="542">
        <v>206</v>
      </c>
      <c r="C288" s="831"/>
      <c r="D288" s="830"/>
      <c r="S288" s="15"/>
      <c r="U288" s="542">
        <v>206</v>
      </c>
      <c r="V288" s="831"/>
      <c r="W288" s="830"/>
      <c r="AL288" s="15"/>
      <c r="AN288" s="542">
        <v>206</v>
      </c>
      <c r="AO288" s="831"/>
      <c r="AP288" s="830"/>
      <c r="BE288" s="15"/>
      <c r="BG288" s="542">
        <v>206</v>
      </c>
      <c r="BH288" s="831"/>
      <c r="BI288" s="830"/>
      <c r="BX288" s="15"/>
      <c r="BZ288" s="542">
        <v>206</v>
      </c>
      <c r="CA288" s="831"/>
      <c r="CB288" s="830"/>
      <c r="CQ288" s="15"/>
    </row>
    <row r="289" spans="2:95">
      <c r="B289" s="542">
        <v>207</v>
      </c>
      <c r="C289" s="831"/>
      <c r="D289" s="830"/>
      <c r="S289" s="15"/>
      <c r="U289" s="542">
        <v>207</v>
      </c>
      <c r="V289" s="831"/>
      <c r="W289" s="830"/>
      <c r="AL289" s="15"/>
      <c r="AN289" s="542">
        <v>207</v>
      </c>
      <c r="AO289" s="831"/>
      <c r="AP289" s="830"/>
      <c r="BE289" s="15"/>
      <c r="BG289" s="542">
        <v>207</v>
      </c>
      <c r="BH289" s="831"/>
      <c r="BI289" s="830"/>
      <c r="BX289" s="15"/>
      <c r="BZ289" s="542">
        <v>207</v>
      </c>
      <c r="CA289" s="831"/>
      <c r="CB289" s="830"/>
      <c r="CQ289" s="15"/>
    </row>
    <row r="290" spans="2:95">
      <c r="B290" s="542">
        <v>208</v>
      </c>
      <c r="C290" s="831"/>
      <c r="D290" s="830"/>
      <c r="S290" s="15"/>
      <c r="U290" s="542">
        <v>208</v>
      </c>
      <c r="V290" s="831"/>
      <c r="W290" s="830"/>
      <c r="AL290" s="15"/>
      <c r="AN290" s="542">
        <v>208</v>
      </c>
      <c r="AO290" s="831"/>
      <c r="AP290" s="830"/>
      <c r="BE290" s="15"/>
      <c r="BG290" s="542">
        <v>208</v>
      </c>
      <c r="BH290" s="831"/>
      <c r="BI290" s="830"/>
      <c r="BX290" s="15"/>
      <c r="BZ290" s="542">
        <v>208</v>
      </c>
      <c r="CA290" s="831"/>
      <c r="CB290" s="830"/>
      <c r="CQ290" s="15"/>
    </row>
    <row r="291" spans="2:95">
      <c r="B291" s="542">
        <v>209</v>
      </c>
      <c r="C291" s="831"/>
      <c r="D291" s="830"/>
      <c r="S291" s="15"/>
      <c r="U291" s="542">
        <v>209</v>
      </c>
      <c r="V291" s="831"/>
      <c r="W291" s="830"/>
      <c r="AL291" s="15"/>
      <c r="AN291" s="542">
        <v>209</v>
      </c>
      <c r="AO291" s="831"/>
      <c r="AP291" s="830"/>
      <c r="BE291" s="15"/>
      <c r="BG291" s="542">
        <v>209</v>
      </c>
      <c r="BH291" s="831"/>
      <c r="BI291" s="830"/>
      <c r="BX291" s="15"/>
      <c r="BZ291" s="542">
        <v>209</v>
      </c>
      <c r="CA291" s="831"/>
      <c r="CB291" s="830"/>
      <c r="CQ291" s="15"/>
    </row>
    <row r="292" spans="2:95">
      <c r="B292" s="542">
        <v>210</v>
      </c>
      <c r="C292" s="831"/>
      <c r="D292" s="830"/>
      <c r="S292" s="15"/>
      <c r="U292" s="542">
        <v>210</v>
      </c>
      <c r="V292" s="831"/>
      <c r="W292" s="830"/>
      <c r="AL292" s="15"/>
      <c r="AN292" s="542">
        <v>210</v>
      </c>
      <c r="AO292" s="831"/>
      <c r="AP292" s="830"/>
      <c r="BE292" s="15"/>
      <c r="BG292" s="542">
        <v>210</v>
      </c>
      <c r="BH292" s="831"/>
      <c r="BI292" s="830"/>
      <c r="BX292" s="15"/>
      <c r="BZ292" s="542">
        <v>210</v>
      </c>
      <c r="CA292" s="831"/>
      <c r="CB292" s="830"/>
      <c r="CQ292" s="15"/>
    </row>
    <row r="293" spans="2:95">
      <c r="B293" s="542">
        <v>211</v>
      </c>
      <c r="C293" s="831"/>
      <c r="D293" s="830"/>
      <c r="S293" s="15"/>
      <c r="U293" s="542">
        <v>211</v>
      </c>
      <c r="V293" s="831"/>
      <c r="W293" s="830"/>
      <c r="AL293" s="15"/>
      <c r="AN293" s="542">
        <v>211</v>
      </c>
      <c r="AO293" s="831"/>
      <c r="AP293" s="830"/>
      <c r="BE293" s="15"/>
      <c r="BG293" s="542">
        <v>211</v>
      </c>
      <c r="BH293" s="831"/>
      <c r="BI293" s="830"/>
      <c r="BX293" s="15"/>
      <c r="BZ293" s="542">
        <v>211</v>
      </c>
      <c r="CA293" s="831"/>
      <c r="CB293" s="830"/>
      <c r="CQ293" s="15"/>
    </row>
    <row r="294" spans="2:95">
      <c r="B294" s="542">
        <v>212</v>
      </c>
      <c r="C294" s="831"/>
      <c r="D294" s="830"/>
      <c r="S294" s="15"/>
      <c r="U294" s="542">
        <v>212</v>
      </c>
      <c r="V294" s="831"/>
      <c r="W294" s="830"/>
      <c r="AL294" s="15"/>
      <c r="AN294" s="542">
        <v>212</v>
      </c>
      <c r="AO294" s="831"/>
      <c r="AP294" s="830"/>
      <c r="BE294" s="15"/>
      <c r="BG294" s="542">
        <v>212</v>
      </c>
      <c r="BH294" s="831"/>
      <c r="BI294" s="830"/>
      <c r="BX294" s="15"/>
      <c r="BZ294" s="542">
        <v>212</v>
      </c>
      <c r="CA294" s="831"/>
      <c r="CB294" s="830"/>
      <c r="CQ294" s="15"/>
    </row>
    <row r="295" spans="2:95">
      <c r="B295" s="542">
        <v>213</v>
      </c>
      <c r="C295" s="831"/>
      <c r="D295" s="830"/>
      <c r="S295" s="15"/>
      <c r="U295" s="542">
        <v>213</v>
      </c>
      <c r="V295" s="831"/>
      <c r="W295" s="830"/>
      <c r="AL295" s="15"/>
      <c r="AN295" s="542">
        <v>213</v>
      </c>
      <c r="AO295" s="831"/>
      <c r="AP295" s="830"/>
      <c r="BE295" s="15"/>
      <c r="BG295" s="542">
        <v>213</v>
      </c>
      <c r="BH295" s="831"/>
      <c r="BI295" s="830"/>
      <c r="BX295" s="15"/>
      <c r="BZ295" s="542">
        <v>213</v>
      </c>
      <c r="CA295" s="831"/>
      <c r="CB295" s="830"/>
      <c r="CQ295" s="15"/>
    </row>
    <row r="296" spans="2:95">
      <c r="B296" s="542">
        <v>214</v>
      </c>
      <c r="C296" s="831"/>
      <c r="D296" s="830"/>
      <c r="S296" s="15"/>
      <c r="U296" s="542">
        <v>214</v>
      </c>
      <c r="V296" s="831"/>
      <c r="W296" s="830"/>
      <c r="AL296" s="15"/>
      <c r="AN296" s="542">
        <v>214</v>
      </c>
      <c r="AO296" s="831"/>
      <c r="AP296" s="830"/>
      <c r="BE296" s="15"/>
      <c r="BG296" s="542">
        <v>214</v>
      </c>
      <c r="BH296" s="831"/>
      <c r="BI296" s="830"/>
      <c r="BX296" s="15"/>
      <c r="BZ296" s="542">
        <v>214</v>
      </c>
      <c r="CA296" s="831"/>
      <c r="CB296" s="830"/>
      <c r="CQ296" s="15"/>
    </row>
    <row r="297" spans="2:95">
      <c r="B297" s="542">
        <v>215</v>
      </c>
      <c r="C297" s="831"/>
      <c r="D297" s="830"/>
      <c r="S297" s="15"/>
      <c r="U297" s="542">
        <v>215</v>
      </c>
      <c r="V297" s="831"/>
      <c r="W297" s="830"/>
      <c r="AL297" s="15"/>
      <c r="AN297" s="542">
        <v>215</v>
      </c>
      <c r="AO297" s="831"/>
      <c r="AP297" s="830"/>
      <c r="BE297" s="15"/>
      <c r="BG297" s="542">
        <v>215</v>
      </c>
      <c r="BH297" s="831"/>
      <c r="BI297" s="830"/>
      <c r="BX297" s="15"/>
      <c r="BZ297" s="542">
        <v>215</v>
      </c>
      <c r="CA297" s="831"/>
      <c r="CB297" s="830"/>
      <c r="CQ297" s="15"/>
    </row>
    <row r="298" spans="2:95">
      <c r="B298" s="542">
        <v>216</v>
      </c>
      <c r="C298" s="831"/>
      <c r="D298" s="830"/>
      <c r="S298" s="15"/>
      <c r="U298" s="542">
        <v>216</v>
      </c>
      <c r="V298" s="831"/>
      <c r="W298" s="830"/>
      <c r="AL298" s="15"/>
      <c r="AN298" s="542">
        <v>216</v>
      </c>
      <c r="AO298" s="831"/>
      <c r="AP298" s="830"/>
      <c r="BE298" s="15"/>
      <c r="BG298" s="542">
        <v>216</v>
      </c>
      <c r="BH298" s="831"/>
      <c r="BI298" s="830"/>
      <c r="BX298" s="15"/>
      <c r="BZ298" s="542">
        <v>216</v>
      </c>
      <c r="CA298" s="831"/>
      <c r="CB298" s="830"/>
      <c r="CQ298" s="15"/>
    </row>
    <row r="299" spans="2:95">
      <c r="B299" s="542">
        <v>217</v>
      </c>
      <c r="C299" s="831"/>
      <c r="D299" s="830"/>
      <c r="S299" s="15"/>
      <c r="U299" s="542">
        <v>217</v>
      </c>
      <c r="V299" s="831"/>
      <c r="W299" s="830"/>
      <c r="AL299" s="15"/>
      <c r="AN299" s="542">
        <v>217</v>
      </c>
      <c r="AO299" s="831"/>
      <c r="AP299" s="830"/>
      <c r="BE299" s="15"/>
      <c r="BG299" s="542">
        <v>217</v>
      </c>
      <c r="BH299" s="831"/>
      <c r="BI299" s="830"/>
      <c r="BX299" s="15"/>
      <c r="BZ299" s="542">
        <v>217</v>
      </c>
      <c r="CA299" s="831"/>
      <c r="CB299" s="830"/>
      <c r="CQ299" s="15"/>
    </row>
    <row r="300" spans="2:95">
      <c r="B300" s="542">
        <v>218</v>
      </c>
      <c r="C300" s="831"/>
      <c r="D300" s="830"/>
      <c r="S300" s="15"/>
      <c r="U300" s="542">
        <v>218</v>
      </c>
      <c r="V300" s="831"/>
      <c r="W300" s="830"/>
      <c r="AL300" s="15"/>
      <c r="AN300" s="542">
        <v>218</v>
      </c>
      <c r="AO300" s="831"/>
      <c r="AP300" s="830"/>
      <c r="BE300" s="15"/>
      <c r="BG300" s="542">
        <v>218</v>
      </c>
      <c r="BH300" s="831"/>
      <c r="BI300" s="830"/>
      <c r="BX300" s="15"/>
      <c r="BZ300" s="542">
        <v>218</v>
      </c>
      <c r="CA300" s="831"/>
      <c r="CB300" s="830"/>
      <c r="CQ300" s="15"/>
    </row>
    <row r="301" spans="2:95">
      <c r="B301" s="542">
        <v>219</v>
      </c>
      <c r="C301" s="831"/>
      <c r="D301" s="830"/>
      <c r="S301" s="15"/>
      <c r="U301" s="542">
        <v>219</v>
      </c>
      <c r="V301" s="831"/>
      <c r="W301" s="830"/>
      <c r="AL301" s="15"/>
      <c r="AN301" s="542">
        <v>219</v>
      </c>
      <c r="AO301" s="831"/>
      <c r="AP301" s="830"/>
      <c r="BE301" s="15"/>
      <c r="BG301" s="542">
        <v>219</v>
      </c>
      <c r="BH301" s="831"/>
      <c r="BI301" s="830"/>
      <c r="BX301" s="15"/>
      <c r="BZ301" s="542">
        <v>219</v>
      </c>
      <c r="CA301" s="831"/>
      <c r="CB301" s="830"/>
      <c r="CQ301" s="15"/>
    </row>
    <row r="302" spans="2:95">
      <c r="B302" s="542">
        <v>220</v>
      </c>
      <c r="C302" s="831"/>
      <c r="D302" s="830"/>
      <c r="S302" s="15"/>
      <c r="U302" s="542">
        <v>220</v>
      </c>
      <c r="V302" s="831"/>
      <c r="W302" s="830"/>
      <c r="AL302" s="15"/>
      <c r="AN302" s="542">
        <v>220</v>
      </c>
      <c r="AO302" s="831"/>
      <c r="AP302" s="830"/>
      <c r="BE302" s="15"/>
      <c r="BG302" s="542">
        <v>220</v>
      </c>
      <c r="BH302" s="831"/>
      <c r="BI302" s="830"/>
      <c r="BX302" s="15"/>
      <c r="BZ302" s="542">
        <v>220</v>
      </c>
      <c r="CA302" s="831"/>
      <c r="CB302" s="830"/>
      <c r="CQ302" s="15"/>
    </row>
    <row r="303" spans="2:95">
      <c r="B303" s="542">
        <v>221</v>
      </c>
      <c r="C303" s="831"/>
      <c r="D303" s="830"/>
      <c r="S303" s="15"/>
      <c r="U303" s="542">
        <v>221</v>
      </c>
      <c r="V303" s="831"/>
      <c r="W303" s="830"/>
      <c r="AL303" s="15"/>
      <c r="AN303" s="542">
        <v>221</v>
      </c>
      <c r="AO303" s="831"/>
      <c r="AP303" s="830"/>
      <c r="BE303" s="15"/>
      <c r="BG303" s="542">
        <v>221</v>
      </c>
      <c r="BH303" s="831"/>
      <c r="BI303" s="830"/>
      <c r="BX303" s="15"/>
      <c r="BZ303" s="542">
        <v>221</v>
      </c>
      <c r="CA303" s="831"/>
      <c r="CB303" s="830"/>
      <c r="CQ303" s="15"/>
    </row>
    <row r="304" spans="2:95">
      <c r="B304" s="542">
        <v>222</v>
      </c>
      <c r="C304" s="831"/>
      <c r="D304" s="830"/>
      <c r="S304" s="15"/>
      <c r="U304" s="542">
        <v>222</v>
      </c>
      <c r="V304" s="831"/>
      <c r="W304" s="830"/>
      <c r="AL304" s="15"/>
      <c r="AN304" s="542">
        <v>222</v>
      </c>
      <c r="AO304" s="831"/>
      <c r="AP304" s="830"/>
      <c r="BE304" s="15"/>
      <c r="BG304" s="542">
        <v>222</v>
      </c>
      <c r="BH304" s="831"/>
      <c r="BI304" s="830"/>
      <c r="BX304" s="15"/>
      <c r="BZ304" s="542">
        <v>222</v>
      </c>
      <c r="CA304" s="831"/>
      <c r="CB304" s="830"/>
      <c r="CQ304" s="15"/>
    </row>
    <row r="305" spans="2:95">
      <c r="B305" s="542">
        <v>223</v>
      </c>
      <c r="C305" s="831"/>
      <c r="D305" s="830"/>
      <c r="S305" s="15"/>
      <c r="U305" s="542">
        <v>223</v>
      </c>
      <c r="V305" s="831"/>
      <c r="W305" s="830"/>
      <c r="AL305" s="15"/>
      <c r="AN305" s="542">
        <v>223</v>
      </c>
      <c r="AO305" s="831"/>
      <c r="AP305" s="830"/>
      <c r="BE305" s="15"/>
      <c r="BG305" s="542">
        <v>223</v>
      </c>
      <c r="BH305" s="831"/>
      <c r="BI305" s="830"/>
      <c r="BX305" s="15"/>
      <c r="BZ305" s="542">
        <v>223</v>
      </c>
      <c r="CA305" s="831"/>
      <c r="CB305" s="830"/>
      <c r="CQ305" s="15"/>
    </row>
    <row r="306" spans="2:95">
      <c r="B306" s="542">
        <v>224</v>
      </c>
      <c r="C306" s="831"/>
      <c r="D306" s="830"/>
      <c r="S306" s="15"/>
      <c r="U306" s="542">
        <v>224</v>
      </c>
      <c r="V306" s="831"/>
      <c r="W306" s="830"/>
      <c r="AL306" s="15"/>
      <c r="AN306" s="542">
        <v>224</v>
      </c>
      <c r="AO306" s="831"/>
      <c r="AP306" s="830"/>
      <c r="BE306" s="15"/>
      <c r="BG306" s="542">
        <v>224</v>
      </c>
      <c r="BH306" s="831"/>
      <c r="BI306" s="830"/>
      <c r="BX306" s="15"/>
      <c r="BZ306" s="542">
        <v>224</v>
      </c>
      <c r="CA306" s="831"/>
      <c r="CB306" s="830"/>
      <c r="CQ306" s="15"/>
    </row>
    <row r="307" spans="2:95">
      <c r="B307" s="542">
        <v>225</v>
      </c>
      <c r="C307" s="831"/>
      <c r="D307" s="830"/>
      <c r="S307" s="15"/>
      <c r="U307" s="542">
        <v>225</v>
      </c>
      <c r="V307" s="831"/>
      <c r="W307" s="830"/>
      <c r="AL307" s="15"/>
      <c r="AN307" s="542">
        <v>225</v>
      </c>
      <c r="AO307" s="831"/>
      <c r="AP307" s="830"/>
      <c r="BE307" s="15"/>
      <c r="BG307" s="542">
        <v>225</v>
      </c>
      <c r="BH307" s="831"/>
      <c r="BI307" s="830"/>
      <c r="BX307" s="15"/>
      <c r="BZ307" s="542">
        <v>225</v>
      </c>
      <c r="CA307" s="831"/>
      <c r="CB307" s="830"/>
      <c r="CQ307" s="15"/>
    </row>
    <row r="308" spans="2:95">
      <c r="B308" s="542">
        <v>226</v>
      </c>
      <c r="C308" s="831"/>
      <c r="D308" s="830"/>
      <c r="S308" s="15"/>
      <c r="U308" s="542">
        <v>226</v>
      </c>
      <c r="V308" s="831"/>
      <c r="W308" s="830"/>
      <c r="AL308" s="15"/>
      <c r="AN308" s="542">
        <v>226</v>
      </c>
      <c r="AO308" s="831"/>
      <c r="AP308" s="830"/>
      <c r="BE308" s="15"/>
      <c r="BG308" s="542">
        <v>226</v>
      </c>
      <c r="BH308" s="831"/>
      <c r="BI308" s="830"/>
      <c r="BX308" s="15"/>
      <c r="BZ308" s="542">
        <v>226</v>
      </c>
      <c r="CA308" s="831"/>
      <c r="CB308" s="830"/>
      <c r="CQ308" s="15"/>
    </row>
    <row r="309" spans="2:95">
      <c r="B309" s="542">
        <v>227</v>
      </c>
      <c r="C309" s="831"/>
      <c r="D309" s="830"/>
      <c r="S309" s="15"/>
      <c r="U309" s="542">
        <v>227</v>
      </c>
      <c r="V309" s="831"/>
      <c r="W309" s="830"/>
      <c r="AL309" s="15"/>
      <c r="AN309" s="542">
        <v>227</v>
      </c>
      <c r="AO309" s="831"/>
      <c r="AP309" s="830"/>
      <c r="BE309" s="15"/>
      <c r="BG309" s="542">
        <v>227</v>
      </c>
      <c r="BH309" s="831"/>
      <c r="BI309" s="830"/>
      <c r="BX309" s="15"/>
      <c r="BZ309" s="542">
        <v>227</v>
      </c>
      <c r="CA309" s="831"/>
      <c r="CB309" s="830"/>
      <c r="CQ309" s="15"/>
    </row>
    <row r="310" spans="2:95">
      <c r="B310" s="542">
        <v>228</v>
      </c>
      <c r="C310" s="831"/>
      <c r="D310" s="830"/>
      <c r="S310" s="15"/>
      <c r="U310" s="542">
        <v>228</v>
      </c>
      <c r="V310" s="831"/>
      <c r="W310" s="830"/>
      <c r="AL310" s="15"/>
      <c r="AN310" s="542">
        <v>228</v>
      </c>
      <c r="AO310" s="831"/>
      <c r="AP310" s="830"/>
      <c r="BE310" s="15"/>
      <c r="BG310" s="542">
        <v>228</v>
      </c>
      <c r="BH310" s="831"/>
      <c r="BI310" s="830"/>
      <c r="BX310" s="15"/>
      <c r="BZ310" s="542">
        <v>228</v>
      </c>
      <c r="CA310" s="831"/>
      <c r="CB310" s="830"/>
      <c r="CQ310" s="15"/>
    </row>
    <row r="311" spans="2:95">
      <c r="B311" s="542">
        <v>229</v>
      </c>
      <c r="C311" s="831"/>
      <c r="D311" s="830"/>
      <c r="S311" s="15"/>
      <c r="U311" s="542">
        <v>229</v>
      </c>
      <c r="V311" s="831"/>
      <c r="W311" s="830"/>
      <c r="AL311" s="15"/>
      <c r="AN311" s="542">
        <v>229</v>
      </c>
      <c r="AO311" s="831"/>
      <c r="AP311" s="830"/>
      <c r="BE311" s="15"/>
      <c r="BG311" s="542">
        <v>229</v>
      </c>
      <c r="BH311" s="831"/>
      <c r="BI311" s="830"/>
      <c r="BX311" s="15"/>
      <c r="BZ311" s="542">
        <v>229</v>
      </c>
      <c r="CA311" s="831"/>
      <c r="CB311" s="830"/>
      <c r="CQ311" s="15"/>
    </row>
    <row r="312" spans="2:95">
      <c r="B312" s="542">
        <v>230</v>
      </c>
      <c r="C312" s="831"/>
      <c r="D312" s="830"/>
      <c r="S312" s="15"/>
      <c r="U312" s="542">
        <v>230</v>
      </c>
      <c r="V312" s="831"/>
      <c r="W312" s="830"/>
      <c r="AL312" s="15"/>
      <c r="AN312" s="542">
        <v>230</v>
      </c>
      <c r="AO312" s="831"/>
      <c r="AP312" s="830"/>
      <c r="BE312" s="15"/>
      <c r="BG312" s="542">
        <v>230</v>
      </c>
      <c r="BH312" s="831"/>
      <c r="BI312" s="830"/>
      <c r="BX312" s="15"/>
      <c r="BZ312" s="542">
        <v>230</v>
      </c>
      <c r="CA312" s="831"/>
      <c r="CB312" s="830"/>
      <c r="CQ312" s="15"/>
    </row>
    <row r="313" spans="2:95">
      <c r="B313" s="542">
        <v>231</v>
      </c>
      <c r="C313" s="831"/>
      <c r="D313" s="830"/>
      <c r="S313" s="15"/>
      <c r="U313" s="542">
        <v>231</v>
      </c>
      <c r="V313" s="831"/>
      <c r="W313" s="830"/>
      <c r="AL313" s="15"/>
      <c r="AN313" s="542">
        <v>231</v>
      </c>
      <c r="AO313" s="831"/>
      <c r="AP313" s="830"/>
      <c r="BE313" s="15"/>
      <c r="BG313" s="542">
        <v>231</v>
      </c>
      <c r="BH313" s="831"/>
      <c r="BI313" s="830"/>
      <c r="BX313" s="15"/>
      <c r="BZ313" s="542">
        <v>231</v>
      </c>
      <c r="CA313" s="831"/>
      <c r="CB313" s="830"/>
      <c r="CQ313" s="15"/>
    </row>
    <row r="314" spans="2:95">
      <c r="B314" s="542">
        <v>232</v>
      </c>
      <c r="C314" s="831"/>
      <c r="D314" s="830"/>
      <c r="S314" s="15"/>
      <c r="U314" s="542">
        <v>232</v>
      </c>
      <c r="V314" s="831"/>
      <c r="W314" s="830"/>
      <c r="AL314" s="15"/>
      <c r="AN314" s="542">
        <v>232</v>
      </c>
      <c r="AO314" s="831"/>
      <c r="AP314" s="830"/>
      <c r="BE314" s="15"/>
      <c r="BG314" s="542">
        <v>232</v>
      </c>
      <c r="BH314" s="831"/>
      <c r="BI314" s="830"/>
      <c r="BX314" s="15"/>
      <c r="BZ314" s="542">
        <v>232</v>
      </c>
      <c r="CA314" s="831"/>
      <c r="CB314" s="830"/>
      <c r="CQ314" s="15"/>
    </row>
    <row r="315" spans="2:95">
      <c r="B315" s="542">
        <v>233</v>
      </c>
      <c r="C315" s="831"/>
      <c r="D315" s="830"/>
      <c r="S315" s="15"/>
      <c r="U315" s="542">
        <v>233</v>
      </c>
      <c r="V315" s="831"/>
      <c r="W315" s="830"/>
      <c r="AL315" s="15"/>
      <c r="AN315" s="542">
        <v>233</v>
      </c>
      <c r="AO315" s="831"/>
      <c r="AP315" s="830"/>
      <c r="BE315" s="15"/>
      <c r="BG315" s="542">
        <v>233</v>
      </c>
      <c r="BH315" s="831"/>
      <c r="BI315" s="830"/>
      <c r="BX315" s="15"/>
      <c r="BZ315" s="542">
        <v>233</v>
      </c>
      <c r="CA315" s="831"/>
      <c r="CB315" s="830"/>
      <c r="CQ315" s="15"/>
    </row>
    <row r="316" spans="2:95">
      <c r="B316" s="542">
        <v>234</v>
      </c>
      <c r="C316" s="831"/>
      <c r="D316" s="830"/>
      <c r="S316" s="15"/>
      <c r="U316" s="542">
        <v>234</v>
      </c>
      <c r="V316" s="831"/>
      <c r="W316" s="830"/>
      <c r="AL316" s="15"/>
      <c r="AN316" s="542">
        <v>234</v>
      </c>
      <c r="AO316" s="831"/>
      <c r="AP316" s="830"/>
      <c r="BE316" s="15"/>
      <c r="BG316" s="542">
        <v>234</v>
      </c>
      <c r="BH316" s="831"/>
      <c r="BI316" s="830"/>
      <c r="BX316" s="15"/>
      <c r="BZ316" s="542">
        <v>234</v>
      </c>
      <c r="CA316" s="831"/>
      <c r="CB316" s="830"/>
      <c r="CQ316" s="15"/>
    </row>
    <row r="317" spans="2:95">
      <c r="B317" s="542">
        <v>235</v>
      </c>
      <c r="C317" s="831"/>
      <c r="D317" s="830"/>
      <c r="S317" s="15"/>
      <c r="U317" s="542">
        <v>235</v>
      </c>
      <c r="V317" s="831"/>
      <c r="W317" s="830"/>
      <c r="AL317" s="15"/>
      <c r="AN317" s="542">
        <v>235</v>
      </c>
      <c r="AO317" s="831"/>
      <c r="AP317" s="830"/>
      <c r="BE317" s="15"/>
      <c r="BG317" s="542">
        <v>235</v>
      </c>
      <c r="BH317" s="831"/>
      <c r="BI317" s="830"/>
      <c r="BX317" s="15"/>
      <c r="BZ317" s="542">
        <v>235</v>
      </c>
      <c r="CA317" s="831"/>
      <c r="CB317" s="830"/>
      <c r="CQ317" s="15"/>
    </row>
    <row r="318" spans="2:95">
      <c r="B318" s="542">
        <v>236</v>
      </c>
      <c r="C318" s="831"/>
      <c r="D318" s="830"/>
      <c r="S318" s="15"/>
      <c r="U318" s="542">
        <v>236</v>
      </c>
      <c r="V318" s="831"/>
      <c r="W318" s="830"/>
      <c r="AL318" s="15"/>
      <c r="AN318" s="542">
        <v>236</v>
      </c>
      <c r="AO318" s="831"/>
      <c r="AP318" s="830"/>
      <c r="BE318" s="15"/>
      <c r="BG318" s="542">
        <v>236</v>
      </c>
      <c r="BH318" s="831"/>
      <c r="BI318" s="830"/>
      <c r="BX318" s="15"/>
      <c r="BZ318" s="542">
        <v>236</v>
      </c>
      <c r="CA318" s="831"/>
      <c r="CB318" s="830"/>
      <c r="CQ318" s="15"/>
    </row>
    <row r="319" spans="2:95">
      <c r="B319" s="542">
        <v>237</v>
      </c>
      <c r="C319" s="831"/>
      <c r="D319" s="830"/>
      <c r="S319" s="15"/>
      <c r="U319" s="542">
        <v>237</v>
      </c>
      <c r="V319" s="831"/>
      <c r="W319" s="830"/>
      <c r="AL319" s="15"/>
      <c r="AN319" s="542">
        <v>237</v>
      </c>
      <c r="AO319" s="831"/>
      <c r="AP319" s="830"/>
      <c r="BE319" s="15"/>
      <c r="BG319" s="542">
        <v>237</v>
      </c>
      <c r="BH319" s="831"/>
      <c r="BI319" s="830"/>
      <c r="BX319" s="15"/>
      <c r="BZ319" s="542">
        <v>237</v>
      </c>
      <c r="CA319" s="831"/>
      <c r="CB319" s="830"/>
      <c r="CQ319" s="15"/>
    </row>
    <row r="320" spans="2:95">
      <c r="B320" s="542">
        <v>238</v>
      </c>
      <c r="C320" s="831"/>
      <c r="D320" s="830"/>
      <c r="S320" s="15"/>
      <c r="U320" s="542">
        <v>238</v>
      </c>
      <c r="V320" s="831"/>
      <c r="W320" s="830"/>
      <c r="AL320" s="15"/>
      <c r="AN320" s="542">
        <v>238</v>
      </c>
      <c r="AO320" s="831"/>
      <c r="AP320" s="830"/>
      <c r="BE320" s="15"/>
      <c r="BG320" s="542">
        <v>238</v>
      </c>
      <c r="BH320" s="831"/>
      <c r="BI320" s="830"/>
      <c r="BX320" s="15"/>
      <c r="BZ320" s="542">
        <v>238</v>
      </c>
      <c r="CA320" s="831"/>
      <c r="CB320" s="830"/>
      <c r="CQ320" s="15"/>
    </row>
    <row r="321" spans="2:95">
      <c r="B321" s="542">
        <v>239</v>
      </c>
      <c r="C321" s="831"/>
      <c r="D321" s="830"/>
      <c r="S321" s="15"/>
      <c r="U321" s="542">
        <v>239</v>
      </c>
      <c r="V321" s="831"/>
      <c r="W321" s="830"/>
      <c r="AL321" s="15"/>
      <c r="AN321" s="542">
        <v>239</v>
      </c>
      <c r="AO321" s="831"/>
      <c r="AP321" s="830"/>
      <c r="BE321" s="15"/>
      <c r="BG321" s="542">
        <v>239</v>
      </c>
      <c r="BH321" s="831"/>
      <c r="BI321" s="830"/>
      <c r="BX321" s="15"/>
      <c r="BZ321" s="542">
        <v>239</v>
      </c>
      <c r="CA321" s="831"/>
      <c r="CB321" s="830"/>
      <c r="CQ321" s="15"/>
    </row>
    <row r="322" spans="2:95">
      <c r="B322" s="542">
        <v>240</v>
      </c>
      <c r="C322" s="831"/>
      <c r="D322" s="830"/>
      <c r="S322" s="15"/>
      <c r="U322" s="542">
        <v>240</v>
      </c>
      <c r="V322" s="831"/>
      <c r="W322" s="830"/>
      <c r="AL322" s="15"/>
      <c r="AN322" s="542">
        <v>240</v>
      </c>
      <c r="AO322" s="831"/>
      <c r="AP322" s="830"/>
      <c r="BE322" s="15"/>
      <c r="BG322" s="542">
        <v>240</v>
      </c>
      <c r="BH322" s="831"/>
      <c r="BI322" s="830"/>
      <c r="BX322" s="15"/>
      <c r="BZ322" s="542">
        <v>240</v>
      </c>
      <c r="CA322" s="831"/>
      <c r="CB322" s="830"/>
      <c r="CQ322" s="15"/>
    </row>
    <row r="323" spans="2:95">
      <c r="B323" s="542">
        <v>241</v>
      </c>
      <c r="C323" s="831"/>
      <c r="D323" s="830"/>
      <c r="S323" s="15"/>
      <c r="U323" s="542">
        <v>241</v>
      </c>
      <c r="V323" s="831"/>
      <c r="W323" s="830"/>
      <c r="AL323" s="15"/>
      <c r="AN323" s="542">
        <v>241</v>
      </c>
      <c r="AO323" s="831"/>
      <c r="AP323" s="830"/>
      <c r="BE323" s="15"/>
      <c r="BG323" s="542">
        <v>241</v>
      </c>
      <c r="BH323" s="831"/>
      <c r="BI323" s="830"/>
      <c r="BX323" s="15"/>
      <c r="BZ323" s="542">
        <v>241</v>
      </c>
      <c r="CA323" s="831"/>
      <c r="CB323" s="830"/>
      <c r="CQ323" s="15"/>
    </row>
    <row r="324" spans="2:95">
      <c r="B324" s="542">
        <v>242</v>
      </c>
      <c r="C324" s="831"/>
      <c r="D324" s="830"/>
      <c r="S324" s="15"/>
      <c r="U324" s="542">
        <v>242</v>
      </c>
      <c r="V324" s="831"/>
      <c r="W324" s="830"/>
      <c r="AL324" s="15"/>
      <c r="AN324" s="542">
        <v>242</v>
      </c>
      <c r="AO324" s="831"/>
      <c r="AP324" s="830"/>
      <c r="BE324" s="15"/>
      <c r="BG324" s="542">
        <v>242</v>
      </c>
      <c r="BH324" s="831"/>
      <c r="BI324" s="830"/>
      <c r="BX324" s="15"/>
      <c r="BZ324" s="542">
        <v>242</v>
      </c>
      <c r="CA324" s="831"/>
      <c r="CB324" s="830"/>
      <c r="CQ324" s="15"/>
    </row>
    <row r="325" spans="2:95">
      <c r="B325" s="542">
        <v>243</v>
      </c>
      <c r="C325" s="831"/>
      <c r="D325" s="830"/>
      <c r="S325" s="15"/>
      <c r="U325" s="542">
        <v>243</v>
      </c>
      <c r="V325" s="831"/>
      <c r="W325" s="830"/>
      <c r="AL325" s="15"/>
      <c r="AN325" s="542">
        <v>243</v>
      </c>
      <c r="AO325" s="831"/>
      <c r="AP325" s="830"/>
      <c r="BE325" s="15"/>
      <c r="BG325" s="542">
        <v>243</v>
      </c>
      <c r="BH325" s="831"/>
      <c r="BI325" s="830"/>
      <c r="BX325" s="15"/>
      <c r="BZ325" s="542">
        <v>243</v>
      </c>
      <c r="CA325" s="831"/>
      <c r="CB325" s="830"/>
      <c r="CQ325" s="15"/>
    </row>
    <row r="326" spans="2:95">
      <c r="B326" s="542">
        <v>244</v>
      </c>
      <c r="C326" s="831"/>
      <c r="D326" s="830"/>
      <c r="S326" s="15"/>
      <c r="U326" s="542">
        <v>244</v>
      </c>
      <c r="V326" s="831"/>
      <c r="W326" s="830"/>
      <c r="AL326" s="15"/>
      <c r="AN326" s="542">
        <v>244</v>
      </c>
      <c r="AO326" s="831"/>
      <c r="AP326" s="830"/>
      <c r="BE326" s="15"/>
      <c r="BG326" s="542">
        <v>244</v>
      </c>
      <c r="BH326" s="831"/>
      <c r="BI326" s="830"/>
      <c r="BX326" s="15"/>
      <c r="BZ326" s="542">
        <v>244</v>
      </c>
      <c r="CA326" s="831"/>
      <c r="CB326" s="830"/>
      <c r="CQ326" s="15"/>
    </row>
    <row r="327" spans="2:95">
      <c r="B327" s="542">
        <v>245</v>
      </c>
      <c r="C327" s="831"/>
      <c r="D327" s="830"/>
      <c r="S327" s="15"/>
      <c r="U327" s="542">
        <v>245</v>
      </c>
      <c r="V327" s="831"/>
      <c r="W327" s="830"/>
      <c r="AL327" s="15"/>
      <c r="AN327" s="542">
        <v>245</v>
      </c>
      <c r="AO327" s="831"/>
      <c r="AP327" s="830"/>
      <c r="BE327" s="15"/>
      <c r="BG327" s="542">
        <v>245</v>
      </c>
      <c r="BH327" s="831"/>
      <c r="BI327" s="830"/>
      <c r="BX327" s="15"/>
      <c r="BZ327" s="542">
        <v>245</v>
      </c>
      <c r="CA327" s="831"/>
      <c r="CB327" s="830"/>
      <c r="CQ327" s="15"/>
    </row>
    <row r="328" spans="2:95">
      <c r="B328" s="542">
        <v>246</v>
      </c>
      <c r="C328" s="831"/>
      <c r="D328" s="830"/>
      <c r="S328" s="15"/>
      <c r="U328" s="542">
        <v>246</v>
      </c>
      <c r="V328" s="831"/>
      <c r="W328" s="830"/>
      <c r="AL328" s="15"/>
      <c r="AN328" s="542">
        <v>246</v>
      </c>
      <c r="AO328" s="831"/>
      <c r="AP328" s="830"/>
      <c r="BE328" s="15"/>
      <c r="BG328" s="542">
        <v>246</v>
      </c>
      <c r="BH328" s="831"/>
      <c r="BI328" s="830"/>
      <c r="BX328" s="15"/>
      <c r="BZ328" s="542">
        <v>246</v>
      </c>
      <c r="CA328" s="831"/>
      <c r="CB328" s="830"/>
      <c r="CQ328" s="15"/>
    </row>
    <row r="329" spans="2:95">
      <c r="B329" s="542">
        <v>247</v>
      </c>
      <c r="C329" s="831"/>
      <c r="D329" s="830"/>
      <c r="S329" s="15"/>
      <c r="U329" s="542">
        <v>247</v>
      </c>
      <c r="V329" s="831"/>
      <c r="W329" s="830"/>
      <c r="AL329" s="15"/>
      <c r="AN329" s="542">
        <v>247</v>
      </c>
      <c r="AO329" s="831"/>
      <c r="AP329" s="830"/>
      <c r="BE329" s="15"/>
      <c r="BG329" s="542">
        <v>247</v>
      </c>
      <c r="BH329" s="831"/>
      <c r="BI329" s="830"/>
      <c r="BX329" s="15"/>
      <c r="BZ329" s="542">
        <v>247</v>
      </c>
      <c r="CA329" s="831"/>
      <c r="CB329" s="830"/>
      <c r="CQ329" s="15"/>
    </row>
    <row r="330" spans="2:95">
      <c r="B330" s="542">
        <v>248</v>
      </c>
      <c r="C330" s="831"/>
      <c r="D330" s="830"/>
      <c r="S330" s="15"/>
      <c r="U330" s="542">
        <v>248</v>
      </c>
      <c r="V330" s="831"/>
      <c r="W330" s="830"/>
      <c r="AL330" s="15"/>
      <c r="AN330" s="542">
        <v>248</v>
      </c>
      <c r="AO330" s="831"/>
      <c r="AP330" s="830"/>
      <c r="BE330" s="15"/>
      <c r="BG330" s="542">
        <v>248</v>
      </c>
      <c r="BH330" s="831"/>
      <c r="BI330" s="830"/>
      <c r="BX330" s="15"/>
      <c r="BZ330" s="542">
        <v>248</v>
      </c>
      <c r="CA330" s="831"/>
      <c r="CB330" s="830"/>
      <c r="CQ330" s="15"/>
    </row>
    <row r="331" spans="2:95">
      <c r="B331" s="542">
        <v>249</v>
      </c>
      <c r="C331" s="831"/>
      <c r="D331" s="830"/>
      <c r="S331" s="15"/>
      <c r="U331" s="542">
        <v>249</v>
      </c>
      <c r="V331" s="831"/>
      <c r="W331" s="830"/>
      <c r="AL331" s="15"/>
      <c r="AN331" s="542">
        <v>249</v>
      </c>
      <c r="AO331" s="831"/>
      <c r="AP331" s="830"/>
      <c r="BE331" s="15"/>
      <c r="BG331" s="542">
        <v>249</v>
      </c>
      <c r="BH331" s="831"/>
      <c r="BI331" s="830"/>
      <c r="BX331" s="15"/>
      <c r="BZ331" s="542">
        <v>249</v>
      </c>
      <c r="CA331" s="831"/>
      <c r="CB331" s="830"/>
      <c r="CQ331" s="15"/>
    </row>
    <row r="332" spans="2:95">
      <c r="B332" s="542">
        <v>250</v>
      </c>
      <c r="C332" s="831"/>
      <c r="D332" s="830"/>
      <c r="S332" s="15"/>
      <c r="U332" s="542">
        <v>250</v>
      </c>
      <c r="V332" s="831"/>
      <c r="W332" s="830"/>
      <c r="AL332" s="15"/>
      <c r="AN332" s="542">
        <v>250</v>
      </c>
      <c r="AO332" s="831"/>
      <c r="AP332" s="830"/>
      <c r="BE332" s="15"/>
      <c r="BG332" s="542">
        <v>250</v>
      </c>
      <c r="BH332" s="831"/>
      <c r="BI332" s="830"/>
      <c r="BX332" s="15"/>
      <c r="BZ332" s="542">
        <v>250</v>
      </c>
      <c r="CA332" s="831"/>
      <c r="CB332" s="830"/>
      <c r="CQ332" s="15"/>
    </row>
    <row r="333" spans="2:95">
      <c r="B333" s="542">
        <v>251</v>
      </c>
      <c r="C333" s="831"/>
      <c r="D333" s="830"/>
      <c r="S333" s="15"/>
      <c r="U333" s="542">
        <v>251</v>
      </c>
      <c r="V333" s="831"/>
      <c r="W333" s="830"/>
      <c r="AL333" s="15"/>
      <c r="AN333" s="542">
        <v>251</v>
      </c>
      <c r="AO333" s="831"/>
      <c r="AP333" s="830"/>
      <c r="BE333" s="15"/>
      <c r="BG333" s="542">
        <v>251</v>
      </c>
      <c r="BH333" s="831"/>
      <c r="BI333" s="830"/>
      <c r="BX333" s="15"/>
      <c r="BZ333" s="542">
        <v>251</v>
      </c>
      <c r="CA333" s="831"/>
      <c r="CB333" s="830"/>
      <c r="CQ333" s="15"/>
    </row>
    <row r="334" spans="2:95">
      <c r="B334" s="542">
        <v>252</v>
      </c>
      <c r="C334" s="831"/>
      <c r="D334" s="830"/>
      <c r="S334" s="15"/>
      <c r="U334" s="542">
        <v>252</v>
      </c>
      <c r="V334" s="831"/>
      <c r="W334" s="830"/>
      <c r="AL334" s="15"/>
      <c r="AN334" s="542">
        <v>252</v>
      </c>
      <c r="AO334" s="831"/>
      <c r="AP334" s="830"/>
      <c r="BE334" s="15"/>
      <c r="BG334" s="542">
        <v>252</v>
      </c>
      <c r="BH334" s="831"/>
      <c r="BI334" s="830"/>
      <c r="BX334" s="15"/>
      <c r="BZ334" s="542">
        <v>252</v>
      </c>
      <c r="CA334" s="831"/>
      <c r="CB334" s="830"/>
      <c r="CQ334" s="15"/>
    </row>
    <row r="335" spans="2:95">
      <c r="B335" s="542">
        <v>253</v>
      </c>
      <c r="C335" s="831"/>
      <c r="D335" s="830"/>
      <c r="S335" s="15"/>
      <c r="U335" s="542">
        <v>253</v>
      </c>
      <c r="V335" s="831"/>
      <c r="W335" s="830"/>
      <c r="AL335" s="15"/>
      <c r="AN335" s="542">
        <v>253</v>
      </c>
      <c r="AO335" s="831"/>
      <c r="AP335" s="830"/>
      <c r="BE335" s="15"/>
      <c r="BG335" s="542">
        <v>253</v>
      </c>
      <c r="BH335" s="831"/>
      <c r="BI335" s="830"/>
      <c r="BX335" s="15"/>
      <c r="BZ335" s="542">
        <v>253</v>
      </c>
      <c r="CA335" s="831"/>
      <c r="CB335" s="830"/>
      <c r="CQ335" s="15"/>
    </row>
    <row r="336" spans="2:95">
      <c r="B336" s="542">
        <v>254</v>
      </c>
      <c r="C336" s="831"/>
      <c r="D336" s="830"/>
      <c r="S336" s="15"/>
      <c r="U336" s="542">
        <v>254</v>
      </c>
      <c r="V336" s="831"/>
      <c r="W336" s="830"/>
      <c r="AL336" s="15"/>
      <c r="AN336" s="542">
        <v>254</v>
      </c>
      <c r="AO336" s="831"/>
      <c r="AP336" s="830"/>
      <c r="BE336" s="15"/>
      <c r="BG336" s="542">
        <v>254</v>
      </c>
      <c r="BH336" s="831"/>
      <c r="BI336" s="830"/>
      <c r="BX336" s="15"/>
      <c r="BZ336" s="542">
        <v>254</v>
      </c>
      <c r="CA336" s="831"/>
      <c r="CB336" s="830"/>
      <c r="CQ336" s="15"/>
    </row>
    <row r="337" spans="2:95">
      <c r="B337" s="542">
        <v>255</v>
      </c>
      <c r="C337" s="831"/>
      <c r="D337" s="830"/>
      <c r="S337" s="15"/>
      <c r="U337" s="542">
        <v>255</v>
      </c>
      <c r="V337" s="831"/>
      <c r="W337" s="830"/>
      <c r="AL337" s="15"/>
      <c r="AN337" s="542">
        <v>255</v>
      </c>
      <c r="AO337" s="831"/>
      <c r="AP337" s="830"/>
      <c r="BE337" s="15"/>
      <c r="BG337" s="542">
        <v>255</v>
      </c>
      <c r="BH337" s="831"/>
      <c r="BI337" s="830"/>
      <c r="BX337" s="15"/>
      <c r="BZ337" s="542">
        <v>255</v>
      </c>
      <c r="CA337" s="831"/>
      <c r="CB337" s="830"/>
      <c r="CQ337" s="15"/>
    </row>
    <row r="338" spans="2:95">
      <c r="B338" s="542">
        <v>256</v>
      </c>
      <c r="C338" s="831"/>
      <c r="D338" s="830"/>
      <c r="S338" s="15"/>
      <c r="U338" s="542">
        <v>256</v>
      </c>
      <c r="V338" s="831"/>
      <c r="W338" s="830"/>
      <c r="AL338" s="15"/>
      <c r="AN338" s="542">
        <v>256</v>
      </c>
      <c r="AO338" s="831"/>
      <c r="AP338" s="830"/>
      <c r="BE338" s="15"/>
      <c r="BG338" s="542">
        <v>256</v>
      </c>
      <c r="BH338" s="831"/>
      <c r="BI338" s="830"/>
      <c r="BX338" s="15"/>
      <c r="BZ338" s="542">
        <v>256</v>
      </c>
      <c r="CA338" s="831"/>
      <c r="CB338" s="830"/>
      <c r="CQ338" s="15"/>
    </row>
    <row r="339" spans="2:95">
      <c r="B339" s="542">
        <v>257</v>
      </c>
      <c r="C339" s="831"/>
      <c r="D339" s="830"/>
      <c r="S339" s="15"/>
      <c r="U339" s="542">
        <v>257</v>
      </c>
      <c r="V339" s="831"/>
      <c r="W339" s="830"/>
      <c r="AL339" s="15"/>
      <c r="AN339" s="542">
        <v>257</v>
      </c>
      <c r="AO339" s="831"/>
      <c r="AP339" s="830"/>
      <c r="BE339" s="15"/>
      <c r="BG339" s="542">
        <v>257</v>
      </c>
      <c r="BH339" s="831"/>
      <c r="BI339" s="830"/>
      <c r="BX339" s="15"/>
      <c r="BZ339" s="542">
        <v>257</v>
      </c>
      <c r="CA339" s="831"/>
      <c r="CB339" s="830"/>
      <c r="CQ339" s="15"/>
    </row>
    <row r="340" spans="2:95">
      <c r="B340" s="542">
        <v>258</v>
      </c>
      <c r="C340" s="831"/>
      <c r="D340" s="830"/>
      <c r="S340" s="15"/>
      <c r="U340" s="542">
        <v>258</v>
      </c>
      <c r="V340" s="831"/>
      <c r="W340" s="830"/>
      <c r="AL340" s="15"/>
      <c r="AN340" s="542">
        <v>258</v>
      </c>
      <c r="AO340" s="831"/>
      <c r="AP340" s="830"/>
      <c r="BE340" s="15"/>
      <c r="BG340" s="542">
        <v>258</v>
      </c>
      <c r="BH340" s="831"/>
      <c r="BI340" s="830"/>
      <c r="BX340" s="15"/>
      <c r="BZ340" s="542">
        <v>258</v>
      </c>
      <c r="CA340" s="831"/>
      <c r="CB340" s="830"/>
      <c r="CQ340" s="15"/>
    </row>
    <row r="341" spans="2:95">
      <c r="B341" s="542">
        <v>259</v>
      </c>
      <c r="C341" s="831"/>
      <c r="D341" s="830"/>
      <c r="S341" s="15"/>
      <c r="U341" s="542">
        <v>259</v>
      </c>
      <c r="V341" s="831"/>
      <c r="W341" s="830"/>
      <c r="AL341" s="15"/>
      <c r="AN341" s="542">
        <v>259</v>
      </c>
      <c r="AO341" s="831"/>
      <c r="AP341" s="830"/>
      <c r="BE341" s="15"/>
      <c r="BG341" s="542">
        <v>259</v>
      </c>
      <c r="BH341" s="831"/>
      <c r="BI341" s="830"/>
      <c r="BX341" s="15"/>
      <c r="BZ341" s="542">
        <v>259</v>
      </c>
      <c r="CA341" s="831"/>
      <c r="CB341" s="830"/>
      <c r="CQ341" s="15"/>
    </row>
    <row r="342" spans="2:95">
      <c r="B342" s="542">
        <v>260</v>
      </c>
      <c r="C342" s="831"/>
      <c r="D342" s="830"/>
      <c r="S342" s="15"/>
      <c r="U342" s="542">
        <v>260</v>
      </c>
      <c r="V342" s="831"/>
      <c r="W342" s="830"/>
      <c r="AL342" s="15"/>
      <c r="AN342" s="542">
        <v>260</v>
      </c>
      <c r="AO342" s="831"/>
      <c r="AP342" s="830"/>
      <c r="BE342" s="15"/>
      <c r="BG342" s="542">
        <v>260</v>
      </c>
      <c r="BH342" s="831"/>
      <c r="BI342" s="830"/>
      <c r="BX342" s="15"/>
      <c r="BZ342" s="542">
        <v>260</v>
      </c>
      <c r="CA342" s="831"/>
      <c r="CB342" s="830"/>
      <c r="CQ342" s="15"/>
    </row>
    <row r="343" spans="2:95">
      <c r="B343" s="542">
        <v>261</v>
      </c>
      <c r="C343" s="831"/>
      <c r="D343" s="830"/>
      <c r="S343" s="15"/>
      <c r="U343" s="542">
        <v>261</v>
      </c>
      <c r="V343" s="831"/>
      <c r="W343" s="830"/>
      <c r="AL343" s="15"/>
      <c r="AN343" s="542">
        <v>261</v>
      </c>
      <c r="AO343" s="831"/>
      <c r="AP343" s="830"/>
      <c r="BE343" s="15"/>
      <c r="BG343" s="542">
        <v>261</v>
      </c>
      <c r="BH343" s="831"/>
      <c r="BI343" s="830"/>
      <c r="BX343" s="15"/>
      <c r="BZ343" s="542">
        <v>261</v>
      </c>
      <c r="CA343" s="831"/>
      <c r="CB343" s="830"/>
      <c r="CQ343" s="15"/>
    </row>
    <row r="344" spans="2:95">
      <c r="B344" s="542">
        <v>262</v>
      </c>
      <c r="C344" s="831"/>
      <c r="D344" s="830"/>
      <c r="S344" s="15"/>
      <c r="U344" s="542">
        <v>262</v>
      </c>
      <c r="V344" s="831"/>
      <c r="W344" s="830"/>
      <c r="AL344" s="15"/>
      <c r="AN344" s="542">
        <v>262</v>
      </c>
      <c r="AO344" s="831"/>
      <c r="AP344" s="830"/>
      <c r="BE344" s="15"/>
      <c r="BG344" s="542">
        <v>262</v>
      </c>
      <c r="BH344" s="831"/>
      <c r="BI344" s="830"/>
      <c r="BX344" s="15"/>
      <c r="BZ344" s="542">
        <v>262</v>
      </c>
      <c r="CA344" s="831"/>
      <c r="CB344" s="830"/>
      <c r="CQ344" s="15"/>
    </row>
    <row r="345" spans="2:95">
      <c r="B345" s="542">
        <v>263</v>
      </c>
      <c r="C345" s="831"/>
      <c r="D345" s="830"/>
      <c r="S345" s="15"/>
      <c r="U345" s="542">
        <v>263</v>
      </c>
      <c r="V345" s="831"/>
      <c r="W345" s="830"/>
      <c r="AL345" s="15"/>
      <c r="AN345" s="542">
        <v>263</v>
      </c>
      <c r="AO345" s="831"/>
      <c r="AP345" s="830"/>
      <c r="BE345" s="15"/>
      <c r="BG345" s="542">
        <v>263</v>
      </c>
      <c r="BH345" s="831"/>
      <c r="BI345" s="830"/>
      <c r="BX345" s="15"/>
      <c r="BZ345" s="542">
        <v>263</v>
      </c>
      <c r="CA345" s="831"/>
      <c r="CB345" s="830"/>
      <c r="CQ345" s="15"/>
    </row>
    <row r="346" spans="2:95">
      <c r="B346" s="542">
        <v>264</v>
      </c>
      <c r="C346" s="831"/>
      <c r="D346" s="830"/>
      <c r="S346" s="15"/>
      <c r="U346" s="542">
        <v>264</v>
      </c>
      <c r="V346" s="831"/>
      <c r="W346" s="830"/>
      <c r="AL346" s="15"/>
      <c r="AN346" s="542">
        <v>264</v>
      </c>
      <c r="AO346" s="831"/>
      <c r="AP346" s="830"/>
      <c r="BE346" s="15"/>
      <c r="BG346" s="542">
        <v>264</v>
      </c>
      <c r="BH346" s="831"/>
      <c r="BI346" s="830"/>
      <c r="BX346" s="15"/>
      <c r="BZ346" s="542">
        <v>264</v>
      </c>
      <c r="CA346" s="831"/>
      <c r="CB346" s="830"/>
      <c r="CQ346" s="15"/>
    </row>
    <row r="347" spans="2:95">
      <c r="B347" s="542">
        <v>265</v>
      </c>
      <c r="C347" s="831"/>
      <c r="D347" s="830"/>
      <c r="S347" s="15"/>
      <c r="U347" s="542">
        <v>265</v>
      </c>
      <c r="V347" s="831"/>
      <c r="W347" s="830"/>
      <c r="AL347" s="15"/>
      <c r="AN347" s="542">
        <v>265</v>
      </c>
      <c r="AO347" s="831"/>
      <c r="AP347" s="830"/>
      <c r="BE347" s="15"/>
      <c r="BG347" s="542">
        <v>265</v>
      </c>
      <c r="BH347" s="831"/>
      <c r="BI347" s="830"/>
      <c r="BX347" s="15"/>
      <c r="BZ347" s="542">
        <v>265</v>
      </c>
      <c r="CA347" s="831"/>
      <c r="CB347" s="830"/>
      <c r="CQ347" s="15"/>
    </row>
    <row r="348" spans="2:95">
      <c r="B348" s="542">
        <v>266</v>
      </c>
      <c r="C348" s="831"/>
      <c r="D348" s="830"/>
      <c r="S348" s="15"/>
      <c r="U348" s="542">
        <v>266</v>
      </c>
      <c r="V348" s="831"/>
      <c r="W348" s="830"/>
      <c r="AL348" s="15"/>
      <c r="AN348" s="542">
        <v>266</v>
      </c>
      <c r="AO348" s="831"/>
      <c r="AP348" s="830"/>
      <c r="BE348" s="15"/>
      <c r="BG348" s="542">
        <v>266</v>
      </c>
      <c r="BH348" s="831"/>
      <c r="BI348" s="830"/>
      <c r="BX348" s="15"/>
      <c r="BZ348" s="542">
        <v>266</v>
      </c>
      <c r="CA348" s="831"/>
      <c r="CB348" s="830"/>
      <c r="CQ348" s="15"/>
    </row>
    <row r="349" spans="2:95">
      <c r="B349" s="542">
        <v>267</v>
      </c>
      <c r="C349" s="831"/>
      <c r="D349" s="830"/>
      <c r="S349" s="15"/>
      <c r="U349" s="542">
        <v>267</v>
      </c>
      <c r="V349" s="831"/>
      <c r="W349" s="830"/>
      <c r="AL349" s="15"/>
      <c r="AN349" s="542">
        <v>267</v>
      </c>
      <c r="AO349" s="831"/>
      <c r="AP349" s="830"/>
      <c r="BE349" s="15"/>
      <c r="BG349" s="542">
        <v>267</v>
      </c>
      <c r="BH349" s="831"/>
      <c r="BI349" s="830"/>
      <c r="BX349" s="15"/>
      <c r="BZ349" s="542">
        <v>267</v>
      </c>
      <c r="CA349" s="831"/>
      <c r="CB349" s="830"/>
      <c r="CQ349" s="15"/>
    </row>
    <row r="350" spans="2:95">
      <c r="B350" s="542">
        <v>268</v>
      </c>
      <c r="C350" s="831"/>
      <c r="D350" s="830"/>
      <c r="S350" s="15"/>
      <c r="U350" s="542">
        <v>268</v>
      </c>
      <c r="V350" s="831"/>
      <c r="W350" s="830"/>
      <c r="AL350" s="15"/>
      <c r="AN350" s="542">
        <v>268</v>
      </c>
      <c r="AO350" s="831"/>
      <c r="AP350" s="830"/>
      <c r="BE350" s="15"/>
      <c r="BG350" s="542">
        <v>268</v>
      </c>
      <c r="BH350" s="831"/>
      <c r="BI350" s="830"/>
      <c r="BX350" s="15"/>
      <c r="BZ350" s="542">
        <v>268</v>
      </c>
      <c r="CA350" s="831"/>
      <c r="CB350" s="830"/>
      <c r="CQ350" s="15"/>
    </row>
    <row r="351" spans="2:95">
      <c r="B351" s="542">
        <v>269</v>
      </c>
      <c r="C351" s="831"/>
      <c r="D351" s="830"/>
      <c r="S351" s="15"/>
      <c r="U351" s="542">
        <v>269</v>
      </c>
      <c r="V351" s="831"/>
      <c r="W351" s="830"/>
      <c r="AL351" s="15"/>
      <c r="AN351" s="542">
        <v>269</v>
      </c>
      <c r="AO351" s="831"/>
      <c r="AP351" s="830"/>
      <c r="BE351" s="15"/>
      <c r="BG351" s="542">
        <v>269</v>
      </c>
      <c r="BH351" s="831"/>
      <c r="BI351" s="830"/>
      <c r="BX351" s="15"/>
      <c r="BZ351" s="542">
        <v>269</v>
      </c>
      <c r="CA351" s="831"/>
      <c r="CB351" s="830"/>
      <c r="CQ351" s="15"/>
    </row>
    <row r="352" spans="2:95">
      <c r="B352" s="542">
        <v>270</v>
      </c>
      <c r="C352" s="831"/>
      <c r="D352" s="830"/>
      <c r="S352" s="15"/>
      <c r="U352" s="542">
        <v>270</v>
      </c>
      <c r="V352" s="831"/>
      <c r="W352" s="830"/>
      <c r="AL352" s="15"/>
      <c r="AN352" s="542">
        <v>270</v>
      </c>
      <c r="AO352" s="831"/>
      <c r="AP352" s="830"/>
      <c r="BE352" s="15"/>
      <c r="BG352" s="542">
        <v>270</v>
      </c>
      <c r="BH352" s="831"/>
      <c r="BI352" s="830"/>
      <c r="BX352" s="15"/>
      <c r="BZ352" s="542">
        <v>270</v>
      </c>
      <c r="CA352" s="831"/>
      <c r="CB352" s="830"/>
      <c r="CQ352" s="15"/>
    </row>
    <row r="353" spans="2:95">
      <c r="B353" s="542">
        <v>271</v>
      </c>
      <c r="C353" s="831"/>
      <c r="D353" s="830"/>
      <c r="S353" s="15"/>
      <c r="U353" s="542">
        <v>271</v>
      </c>
      <c r="V353" s="831"/>
      <c r="W353" s="830"/>
      <c r="AL353" s="15"/>
      <c r="AN353" s="542">
        <v>271</v>
      </c>
      <c r="AO353" s="831"/>
      <c r="AP353" s="830"/>
      <c r="BE353" s="15"/>
      <c r="BG353" s="542">
        <v>271</v>
      </c>
      <c r="BH353" s="831"/>
      <c r="BI353" s="830"/>
      <c r="BX353" s="15"/>
      <c r="BZ353" s="542">
        <v>271</v>
      </c>
      <c r="CA353" s="831"/>
      <c r="CB353" s="830"/>
      <c r="CQ353" s="15"/>
    </row>
    <row r="354" spans="2:95">
      <c r="B354" s="542">
        <v>272</v>
      </c>
      <c r="C354" s="831"/>
      <c r="D354" s="830"/>
      <c r="S354" s="15"/>
      <c r="U354" s="542">
        <v>272</v>
      </c>
      <c r="V354" s="831"/>
      <c r="W354" s="830"/>
      <c r="AL354" s="15"/>
      <c r="AN354" s="542">
        <v>272</v>
      </c>
      <c r="AO354" s="831"/>
      <c r="AP354" s="830"/>
      <c r="BE354" s="15"/>
      <c r="BG354" s="542">
        <v>272</v>
      </c>
      <c r="BH354" s="831"/>
      <c r="BI354" s="830"/>
      <c r="BX354" s="15"/>
      <c r="BZ354" s="542">
        <v>272</v>
      </c>
      <c r="CA354" s="831"/>
      <c r="CB354" s="830"/>
      <c r="CQ354" s="15"/>
    </row>
    <row r="355" spans="2:95">
      <c r="B355" s="542">
        <v>273</v>
      </c>
      <c r="C355" s="831"/>
      <c r="D355" s="830"/>
      <c r="S355" s="15"/>
      <c r="U355" s="542">
        <v>273</v>
      </c>
      <c r="V355" s="831"/>
      <c r="W355" s="830"/>
      <c r="AL355" s="15"/>
      <c r="AN355" s="542">
        <v>273</v>
      </c>
      <c r="AO355" s="831"/>
      <c r="AP355" s="830"/>
      <c r="BE355" s="15"/>
      <c r="BG355" s="542">
        <v>273</v>
      </c>
      <c r="BH355" s="831"/>
      <c r="BI355" s="830"/>
      <c r="BX355" s="15"/>
      <c r="BZ355" s="542">
        <v>273</v>
      </c>
      <c r="CA355" s="831"/>
      <c r="CB355" s="830"/>
      <c r="CQ355" s="15"/>
    </row>
    <row r="356" spans="2:95">
      <c r="B356" s="542">
        <v>274</v>
      </c>
      <c r="C356" s="831"/>
      <c r="D356" s="830"/>
      <c r="S356" s="15"/>
      <c r="U356" s="542">
        <v>274</v>
      </c>
      <c r="V356" s="831"/>
      <c r="W356" s="830"/>
      <c r="AL356" s="15"/>
      <c r="AN356" s="542">
        <v>274</v>
      </c>
      <c r="AO356" s="831"/>
      <c r="AP356" s="830"/>
      <c r="BE356" s="15"/>
      <c r="BG356" s="542">
        <v>274</v>
      </c>
      <c r="BH356" s="831"/>
      <c r="BI356" s="830"/>
      <c r="BX356" s="15"/>
      <c r="BZ356" s="542">
        <v>274</v>
      </c>
      <c r="CA356" s="831"/>
      <c r="CB356" s="830"/>
      <c r="CQ356" s="15"/>
    </row>
    <row r="357" spans="2:95">
      <c r="B357" s="542">
        <v>275</v>
      </c>
      <c r="C357" s="831"/>
      <c r="D357" s="830"/>
      <c r="S357" s="15"/>
      <c r="U357" s="542">
        <v>275</v>
      </c>
      <c r="V357" s="831"/>
      <c r="W357" s="830"/>
      <c r="AL357" s="15"/>
      <c r="AN357" s="542">
        <v>275</v>
      </c>
      <c r="AO357" s="831"/>
      <c r="AP357" s="830"/>
      <c r="BE357" s="15"/>
      <c r="BG357" s="542">
        <v>275</v>
      </c>
      <c r="BH357" s="831"/>
      <c r="BI357" s="830"/>
      <c r="BX357" s="15"/>
      <c r="BZ357" s="542">
        <v>275</v>
      </c>
      <c r="CA357" s="831"/>
      <c r="CB357" s="830"/>
      <c r="CQ357" s="15"/>
    </row>
    <row r="358" spans="2:95">
      <c r="B358" s="542">
        <v>276</v>
      </c>
      <c r="C358" s="831"/>
      <c r="D358" s="830"/>
      <c r="S358" s="15"/>
      <c r="U358" s="542">
        <v>276</v>
      </c>
      <c r="V358" s="831"/>
      <c r="W358" s="830"/>
      <c r="AL358" s="15"/>
      <c r="AN358" s="542">
        <v>276</v>
      </c>
      <c r="AO358" s="831"/>
      <c r="AP358" s="830"/>
      <c r="BE358" s="15"/>
      <c r="BG358" s="542">
        <v>276</v>
      </c>
      <c r="BH358" s="831"/>
      <c r="BI358" s="830"/>
      <c r="BX358" s="15"/>
      <c r="BZ358" s="542">
        <v>276</v>
      </c>
      <c r="CA358" s="831"/>
      <c r="CB358" s="830"/>
      <c r="CQ358" s="15"/>
    </row>
    <row r="359" spans="2:95">
      <c r="B359" s="542">
        <v>277</v>
      </c>
      <c r="C359" s="831"/>
      <c r="D359" s="830"/>
      <c r="S359" s="15"/>
      <c r="U359" s="542">
        <v>277</v>
      </c>
      <c r="V359" s="831"/>
      <c r="W359" s="830"/>
      <c r="AL359" s="15"/>
      <c r="AN359" s="542">
        <v>277</v>
      </c>
      <c r="AO359" s="831"/>
      <c r="AP359" s="830"/>
      <c r="BE359" s="15"/>
      <c r="BG359" s="542">
        <v>277</v>
      </c>
      <c r="BH359" s="831"/>
      <c r="BI359" s="830"/>
      <c r="BX359" s="15"/>
      <c r="BZ359" s="542">
        <v>277</v>
      </c>
      <c r="CA359" s="831"/>
      <c r="CB359" s="830"/>
      <c r="CQ359" s="15"/>
    </row>
    <row r="360" spans="2:95">
      <c r="B360" s="542">
        <v>278</v>
      </c>
      <c r="C360" s="831"/>
      <c r="D360" s="830"/>
      <c r="S360" s="15"/>
      <c r="U360" s="542">
        <v>278</v>
      </c>
      <c r="V360" s="831"/>
      <c r="W360" s="830"/>
      <c r="AL360" s="15"/>
      <c r="AN360" s="542">
        <v>278</v>
      </c>
      <c r="AO360" s="831"/>
      <c r="AP360" s="830"/>
      <c r="BE360" s="15"/>
      <c r="BG360" s="542">
        <v>278</v>
      </c>
      <c r="BH360" s="831"/>
      <c r="BI360" s="830"/>
      <c r="BX360" s="15"/>
      <c r="BZ360" s="542">
        <v>278</v>
      </c>
      <c r="CA360" s="831"/>
      <c r="CB360" s="830"/>
      <c r="CQ360" s="15"/>
    </row>
    <row r="361" spans="2:95">
      <c r="B361" s="542">
        <v>279</v>
      </c>
      <c r="C361" s="831"/>
      <c r="D361" s="830"/>
      <c r="S361" s="15"/>
      <c r="U361" s="542">
        <v>279</v>
      </c>
      <c r="V361" s="831"/>
      <c r="W361" s="830"/>
      <c r="AL361" s="15"/>
      <c r="AN361" s="542">
        <v>279</v>
      </c>
      <c r="AO361" s="831"/>
      <c r="AP361" s="830"/>
      <c r="BE361" s="15"/>
      <c r="BG361" s="542">
        <v>279</v>
      </c>
      <c r="BH361" s="831"/>
      <c r="BI361" s="830"/>
      <c r="BX361" s="15"/>
      <c r="BZ361" s="542">
        <v>279</v>
      </c>
      <c r="CA361" s="831"/>
      <c r="CB361" s="830"/>
      <c r="CQ361" s="15"/>
    </row>
    <row r="362" spans="2:95">
      <c r="B362" s="542">
        <v>280</v>
      </c>
      <c r="C362" s="831"/>
      <c r="D362" s="830"/>
      <c r="S362" s="15"/>
      <c r="U362" s="542">
        <v>280</v>
      </c>
      <c r="V362" s="831"/>
      <c r="W362" s="830"/>
      <c r="AL362" s="15"/>
      <c r="AN362" s="542">
        <v>280</v>
      </c>
      <c r="AO362" s="831"/>
      <c r="AP362" s="830"/>
      <c r="BE362" s="15"/>
      <c r="BG362" s="542">
        <v>280</v>
      </c>
      <c r="BH362" s="831"/>
      <c r="BI362" s="830"/>
      <c r="BX362" s="15"/>
      <c r="BZ362" s="542">
        <v>280</v>
      </c>
      <c r="CA362" s="831"/>
      <c r="CB362" s="830"/>
      <c r="CQ362" s="15"/>
    </row>
    <row r="363" spans="2:95">
      <c r="B363" s="542">
        <v>281</v>
      </c>
      <c r="C363" s="831"/>
      <c r="D363" s="830"/>
      <c r="S363" s="15"/>
      <c r="U363" s="542">
        <v>281</v>
      </c>
      <c r="V363" s="831"/>
      <c r="W363" s="830"/>
      <c r="AL363" s="15"/>
      <c r="AN363" s="542">
        <v>281</v>
      </c>
      <c r="AO363" s="831"/>
      <c r="AP363" s="830"/>
      <c r="BE363" s="15"/>
      <c r="BG363" s="542">
        <v>281</v>
      </c>
      <c r="BH363" s="831"/>
      <c r="BI363" s="830"/>
      <c r="BX363" s="15"/>
      <c r="BZ363" s="542">
        <v>281</v>
      </c>
      <c r="CA363" s="831"/>
      <c r="CB363" s="830"/>
      <c r="CQ363" s="15"/>
    </row>
    <row r="364" spans="2:95">
      <c r="B364" s="542">
        <v>282</v>
      </c>
      <c r="C364" s="831"/>
      <c r="D364" s="830"/>
      <c r="S364" s="15"/>
      <c r="U364" s="542">
        <v>282</v>
      </c>
      <c r="V364" s="831"/>
      <c r="W364" s="830"/>
      <c r="AL364" s="15"/>
      <c r="AN364" s="542">
        <v>282</v>
      </c>
      <c r="AO364" s="831"/>
      <c r="AP364" s="830"/>
      <c r="BE364" s="15"/>
      <c r="BG364" s="542">
        <v>282</v>
      </c>
      <c r="BH364" s="831"/>
      <c r="BI364" s="830"/>
      <c r="BX364" s="15"/>
      <c r="BZ364" s="542">
        <v>282</v>
      </c>
      <c r="CA364" s="831"/>
      <c r="CB364" s="830"/>
      <c r="CQ364" s="15"/>
    </row>
    <row r="365" spans="2:95">
      <c r="B365" s="542">
        <v>283</v>
      </c>
      <c r="C365" s="831"/>
      <c r="D365" s="830"/>
      <c r="S365" s="15"/>
      <c r="U365" s="542">
        <v>283</v>
      </c>
      <c r="V365" s="831"/>
      <c r="W365" s="830"/>
      <c r="AL365" s="15"/>
      <c r="AN365" s="542">
        <v>283</v>
      </c>
      <c r="AO365" s="831"/>
      <c r="AP365" s="830"/>
      <c r="BE365" s="15"/>
      <c r="BG365" s="542">
        <v>283</v>
      </c>
      <c r="BH365" s="831"/>
      <c r="BI365" s="830"/>
      <c r="BX365" s="15"/>
      <c r="BZ365" s="542">
        <v>283</v>
      </c>
      <c r="CA365" s="831"/>
      <c r="CB365" s="830"/>
      <c r="CQ365" s="15"/>
    </row>
    <row r="366" spans="2:95">
      <c r="B366" s="542">
        <v>284</v>
      </c>
      <c r="C366" s="831"/>
      <c r="D366" s="830"/>
      <c r="S366" s="15"/>
      <c r="U366" s="542">
        <v>284</v>
      </c>
      <c r="V366" s="831"/>
      <c r="W366" s="830"/>
      <c r="AL366" s="15"/>
      <c r="AN366" s="542">
        <v>284</v>
      </c>
      <c r="AO366" s="831"/>
      <c r="AP366" s="830"/>
      <c r="BE366" s="15"/>
      <c r="BG366" s="542">
        <v>284</v>
      </c>
      <c r="BH366" s="831"/>
      <c r="BI366" s="830"/>
      <c r="BX366" s="15"/>
      <c r="BZ366" s="542">
        <v>284</v>
      </c>
      <c r="CA366" s="831"/>
      <c r="CB366" s="830"/>
      <c r="CQ366" s="15"/>
    </row>
    <row r="367" spans="2:95">
      <c r="B367" s="542">
        <v>285</v>
      </c>
      <c r="C367" s="831"/>
      <c r="D367" s="830"/>
      <c r="S367" s="15"/>
      <c r="U367" s="542">
        <v>285</v>
      </c>
      <c r="V367" s="831"/>
      <c r="W367" s="830"/>
      <c r="AL367" s="15"/>
      <c r="AN367" s="542">
        <v>285</v>
      </c>
      <c r="AO367" s="831"/>
      <c r="AP367" s="830"/>
      <c r="BE367" s="15"/>
      <c r="BG367" s="542">
        <v>285</v>
      </c>
      <c r="BH367" s="831"/>
      <c r="BI367" s="830"/>
      <c r="BX367" s="15"/>
      <c r="BZ367" s="542">
        <v>285</v>
      </c>
      <c r="CA367" s="831"/>
      <c r="CB367" s="830"/>
      <c r="CQ367" s="15"/>
    </row>
    <row r="368" spans="2:95">
      <c r="B368" s="542">
        <v>286</v>
      </c>
      <c r="C368" s="831"/>
      <c r="D368" s="830"/>
      <c r="S368" s="15"/>
      <c r="U368" s="542">
        <v>286</v>
      </c>
      <c r="V368" s="831"/>
      <c r="W368" s="830"/>
      <c r="AL368" s="15"/>
      <c r="AN368" s="542">
        <v>286</v>
      </c>
      <c r="AO368" s="831"/>
      <c r="AP368" s="830"/>
      <c r="BE368" s="15"/>
      <c r="BG368" s="542">
        <v>286</v>
      </c>
      <c r="BH368" s="831"/>
      <c r="BI368" s="830"/>
      <c r="BX368" s="15"/>
      <c r="BZ368" s="542">
        <v>286</v>
      </c>
      <c r="CA368" s="831"/>
      <c r="CB368" s="830"/>
      <c r="CQ368" s="15"/>
    </row>
    <row r="369" spans="1:95">
      <c r="B369" s="542">
        <v>287</v>
      </c>
      <c r="C369" s="831"/>
      <c r="D369" s="830"/>
      <c r="S369" s="15"/>
      <c r="U369" s="542">
        <v>287</v>
      </c>
      <c r="V369" s="831"/>
      <c r="W369" s="830"/>
      <c r="AL369" s="15"/>
      <c r="AN369" s="542">
        <v>287</v>
      </c>
      <c r="AO369" s="831"/>
      <c r="AP369" s="830"/>
      <c r="BE369" s="15"/>
      <c r="BG369" s="542">
        <v>287</v>
      </c>
      <c r="BH369" s="831"/>
      <c r="BI369" s="830"/>
      <c r="BX369" s="15"/>
      <c r="BZ369" s="542">
        <v>287</v>
      </c>
      <c r="CA369" s="831"/>
      <c r="CB369" s="830"/>
      <c r="CQ369" s="15"/>
    </row>
    <row r="370" spans="1:95">
      <c r="B370" s="542">
        <v>288</v>
      </c>
      <c r="C370" s="831"/>
      <c r="D370" s="830"/>
      <c r="S370" s="15"/>
      <c r="U370" s="542">
        <v>288</v>
      </c>
      <c r="V370" s="831"/>
      <c r="W370" s="830"/>
      <c r="AL370" s="15"/>
      <c r="AN370" s="542">
        <v>288</v>
      </c>
      <c r="AO370" s="831"/>
      <c r="AP370" s="830"/>
      <c r="BE370" s="15"/>
      <c r="BG370" s="542">
        <v>288</v>
      </c>
      <c r="BH370" s="831"/>
      <c r="BI370" s="830"/>
      <c r="BX370" s="15"/>
      <c r="BZ370" s="542">
        <v>288</v>
      </c>
      <c r="CA370" s="831"/>
      <c r="CB370" s="830"/>
      <c r="CQ370" s="15"/>
    </row>
    <row r="371" spans="1:95">
      <c r="B371" s="542">
        <v>289</v>
      </c>
      <c r="C371" s="831"/>
      <c r="D371" s="830"/>
      <c r="S371" s="15"/>
      <c r="U371" s="542">
        <v>289</v>
      </c>
      <c r="V371" s="831"/>
      <c r="W371" s="830"/>
      <c r="AL371" s="15"/>
      <c r="AN371" s="542">
        <v>289</v>
      </c>
      <c r="AO371" s="831"/>
      <c r="AP371" s="830"/>
      <c r="BE371" s="15"/>
      <c r="BG371" s="542">
        <v>289</v>
      </c>
      <c r="BH371" s="831"/>
      <c r="BI371" s="830"/>
      <c r="BX371" s="15"/>
      <c r="BZ371" s="542">
        <v>289</v>
      </c>
      <c r="CA371" s="831"/>
      <c r="CB371" s="830"/>
      <c r="CQ371" s="15"/>
    </row>
    <row r="372" spans="1:95">
      <c r="B372" s="542">
        <v>290</v>
      </c>
      <c r="C372" s="831"/>
      <c r="D372" s="830"/>
      <c r="S372" s="15"/>
      <c r="U372" s="542">
        <v>290</v>
      </c>
      <c r="V372" s="831"/>
      <c r="W372" s="830"/>
      <c r="AL372" s="15"/>
      <c r="AN372" s="542">
        <v>290</v>
      </c>
      <c r="AO372" s="831"/>
      <c r="AP372" s="830"/>
      <c r="BE372" s="15"/>
      <c r="BG372" s="542">
        <v>290</v>
      </c>
      <c r="BH372" s="831"/>
      <c r="BI372" s="830"/>
      <c r="BX372" s="15"/>
      <c r="BZ372" s="542">
        <v>290</v>
      </c>
      <c r="CA372" s="831"/>
      <c r="CB372" s="830"/>
      <c r="CQ372" s="15"/>
    </row>
    <row r="373" spans="1:95">
      <c r="B373" s="542">
        <v>291</v>
      </c>
      <c r="C373" s="831"/>
      <c r="D373" s="830"/>
      <c r="S373" s="15"/>
      <c r="U373" s="542">
        <v>291</v>
      </c>
      <c r="V373" s="831"/>
      <c r="W373" s="830"/>
      <c r="AL373" s="15"/>
      <c r="AN373" s="542">
        <v>291</v>
      </c>
      <c r="AO373" s="831"/>
      <c r="AP373" s="830"/>
      <c r="BE373" s="15"/>
      <c r="BG373" s="542">
        <v>291</v>
      </c>
      <c r="BH373" s="831"/>
      <c r="BI373" s="830"/>
      <c r="BX373" s="15"/>
      <c r="BZ373" s="542">
        <v>291</v>
      </c>
      <c r="CA373" s="831"/>
      <c r="CB373" s="830"/>
      <c r="CQ373" s="15"/>
    </row>
    <row r="374" spans="1:95">
      <c r="B374" s="542">
        <v>292</v>
      </c>
      <c r="C374" s="831"/>
      <c r="D374" s="830"/>
      <c r="S374" s="15"/>
      <c r="U374" s="542">
        <v>292</v>
      </c>
      <c r="V374" s="831"/>
      <c r="W374" s="830"/>
      <c r="AL374" s="15"/>
      <c r="AN374" s="542">
        <v>292</v>
      </c>
      <c r="AO374" s="831"/>
      <c r="AP374" s="830"/>
      <c r="BE374" s="15"/>
      <c r="BG374" s="542">
        <v>292</v>
      </c>
      <c r="BH374" s="831"/>
      <c r="BI374" s="830"/>
      <c r="BX374" s="15"/>
      <c r="BZ374" s="542">
        <v>292</v>
      </c>
      <c r="CA374" s="831"/>
      <c r="CB374" s="830"/>
      <c r="CQ374" s="15"/>
    </row>
    <row r="375" spans="1:95">
      <c r="B375" s="542">
        <v>293</v>
      </c>
      <c r="C375" s="831"/>
      <c r="D375" s="830"/>
      <c r="S375" s="15"/>
      <c r="U375" s="542">
        <v>293</v>
      </c>
      <c r="V375" s="831"/>
      <c r="W375" s="830"/>
      <c r="AL375" s="15"/>
      <c r="AN375" s="542">
        <v>293</v>
      </c>
      <c r="AO375" s="831"/>
      <c r="AP375" s="830"/>
      <c r="BE375" s="15"/>
      <c r="BG375" s="542">
        <v>293</v>
      </c>
      <c r="BH375" s="831"/>
      <c r="BI375" s="830"/>
      <c r="BX375" s="15"/>
      <c r="BZ375" s="542">
        <v>293</v>
      </c>
      <c r="CA375" s="831"/>
      <c r="CB375" s="830"/>
      <c r="CQ375" s="15"/>
    </row>
    <row r="376" spans="1:95">
      <c r="B376" s="542">
        <v>294</v>
      </c>
      <c r="C376" s="831"/>
      <c r="D376" s="830"/>
      <c r="S376" s="15"/>
      <c r="U376" s="542">
        <v>294</v>
      </c>
      <c r="V376" s="831"/>
      <c r="W376" s="830"/>
      <c r="AL376" s="15"/>
      <c r="AN376" s="542">
        <v>294</v>
      </c>
      <c r="AO376" s="831"/>
      <c r="AP376" s="830"/>
      <c r="BE376" s="15"/>
      <c r="BG376" s="542">
        <v>294</v>
      </c>
      <c r="BH376" s="831"/>
      <c r="BI376" s="830"/>
      <c r="BX376" s="15"/>
      <c r="BZ376" s="542">
        <v>294</v>
      </c>
      <c r="CA376" s="831"/>
      <c r="CB376" s="830"/>
      <c r="CQ376" s="15"/>
    </row>
    <row r="377" spans="1:95">
      <c r="B377" s="542">
        <v>295</v>
      </c>
      <c r="C377" s="831"/>
      <c r="D377" s="830"/>
      <c r="S377" s="15"/>
      <c r="U377" s="542">
        <v>295</v>
      </c>
      <c r="V377" s="831"/>
      <c r="W377" s="830"/>
      <c r="AL377" s="15"/>
      <c r="AN377" s="542">
        <v>295</v>
      </c>
      <c r="AO377" s="831"/>
      <c r="AP377" s="830"/>
      <c r="BE377" s="15"/>
      <c r="BG377" s="542">
        <v>295</v>
      </c>
      <c r="BH377" s="831"/>
      <c r="BI377" s="830"/>
      <c r="BX377" s="15"/>
      <c r="BZ377" s="542">
        <v>295</v>
      </c>
      <c r="CA377" s="831"/>
      <c r="CB377" s="830"/>
      <c r="CQ377" s="15"/>
    </row>
    <row r="378" spans="1:95">
      <c r="B378" s="542">
        <v>296</v>
      </c>
      <c r="C378" s="831"/>
      <c r="D378" s="830"/>
      <c r="S378" s="15"/>
      <c r="U378" s="542">
        <v>296</v>
      </c>
      <c r="V378" s="831"/>
      <c r="W378" s="830"/>
      <c r="AL378" s="15"/>
      <c r="AN378" s="542">
        <v>296</v>
      </c>
      <c r="AO378" s="831"/>
      <c r="AP378" s="830"/>
      <c r="BE378" s="15"/>
      <c r="BG378" s="542">
        <v>296</v>
      </c>
      <c r="BH378" s="831"/>
      <c r="BI378" s="830"/>
      <c r="BX378" s="15"/>
      <c r="BZ378" s="542">
        <v>296</v>
      </c>
      <c r="CA378" s="831"/>
      <c r="CB378" s="830"/>
      <c r="CQ378" s="15"/>
    </row>
    <row r="379" spans="1:95">
      <c r="B379" s="542">
        <v>297</v>
      </c>
      <c r="C379" s="831"/>
      <c r="D379" s="830"/>
      <c r="S379" s="15"/>
      <c r="U379" s="542">
        <v>297</v>
      </c>
      <c r="V379" s="831"/>
      <c r="W379" s="830"/>
      <c r="AL379" s="15"/>
      <c r="AN379" s="542">
        <v>297</v>
      </c>
      <c r="AO379" s="831"/>
      <c r="AP379" s="830"/>
      <c r="BE379" s="15"/>
      <c r="BG379" s="542">
        <v>297</v>
      </c>
      <c r="BH379" s="831"/>
      <c r="BI379" s="830"/>
      <c r="BX379" s="15"/>
      <c r="BZ379" s="542">
        <v>297</v>
      </c>
      <c r="CA379" s="831"/>
      <c r="CB379" s="830"/>
      <c r="CQ379" s="15"/>
    </row>
    <row r="380" spans="1:95">
      <c r="B380" s="542">
        <v>298</v>
      </c>
      <c r="C380" s="831"/>
      <c r="D380" s="830"/>
      <c r="S380" s="15"/>
      <c r="U380" s="542">
        <v>298</v>
      </c>
      <c r="V380" s="831"/>
      <c r="W380" s="830"/>
      <c r="AL380" s="15"/>
      <c r="AN380" s="542">
        <v>298</v>
      </c>
      <c r="AO380" s="831"/>
      <c r="AP380" s="830"/>
      <c r="BE380" s="15"/>
      <c r="BG380" s="542">
        <v>298</v>
      </c>
      <c r="BH380" s="831"/>
      <c r="BI380" s="830"/>
      <c r="BX380" s="15"/>
      <c r="BZ380" s="542">
        <v>298</v>
      </c>
      <c r="CA380" s="831"/>
      <c r="CB380" s="830"/>
      <c r="CQ380" s="15"/>
    </row>
    <row r="381" spans="1:95">
      <c r="B381" s="542">
        <v>299</v>
      </c>
      <c r="C381" s="831"/>
      <c r="D381" s="830"/>
      <c r="S381" s="15"/>
      <c r="U381" s="542">
        <v>299</v>
      </c>
      <c r="V381" s="831"/>
      <c r="W381" s="830"/>
      <c r="AL381" s="15"/>
      <c r="AN381" s="542">
        <v>299</v>
      </c>
      <c r="AO381" s="831"/>
      <c r="AP381" s="830"/>
      <c r="BE381" s="15"/>
      <c r="BG381" s="542">
        <v>299</v>
      </c>
      <c r="BH381" s="831"/>
      <c r="BI381" s="830"/>
      <c r="BX381" s="15"/>
      <c r="BZ381" s="542">
        <v>299</v>
      </c>
      <c r="CA381" s="831"/>
      <c r="CB381" s="830"/>
      <c r="CQ381" s="15"/>
    </row>
    <row r="382" spans="1:95">
      <c r="B382" s="542">
        <v>300</v>
      </c>
      <c r="C382" s="831"/>
      <c r="D382" s="830"/>
      <c r="S382" s="15"/>
      <c r="U382" s="542">
        <v>300</v>
      </c>
      <c r="V382" s="831"/>
      <c r="W382" s="830"/>
      <c r="AL382" s="15"/>
      <c r="AN382" s="542">
        <v>300</v>
      </c>
      <c r="AO382" s="831"/>
      <c r="AP382" s="830"/>
      <c r="BE382" s="15"/>
      <c r="BG382" s="542">
        <v>300</v>
      </c>
      <c r="BH382" s="831"/>
      <c r="BI382" s="830"/>
      <c r="BX382" s="15"/>
      <c r="BZ382" s="542">
        <v>300</v>
      </c>
      <c r="CA382" s="831"/>
      <c r="CB382" s="83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ho0Ts/6hestqkNERG9h3WajmK/M2VtVohMNsW1C+Oil+htjXWCQ9EacqEo8/Vgyq5uSZgx9XFTBD/2FtFexVsQ==" saltValue="Yn83GVSpYjZrcxlhVtb5Sw==" spinCount="100000" sheet="1" scenarios="1" insertHyperlinks="0"/>
  <protectedRanges>
    <protectedRange sqref="BY5:CQ18 BY21:CQ42 CA46:CB47 CE46:CF47 CA51:CB53 BY63:CQ77" name="Range5"/>
    <protectedRange sqref="BF5:BX18 BF21:BX42 BH46:BI47 BL46:BM47 BH50 BH53:BI55 BH61 BF63:BX77" name="Range4"/>
    <protectedRange sqref="A5:S18 A21:S42 C46:D47 G46:H47 C50 C53:D55 C61 A63:S77" name="Range1"/>
    <protectedRange sqref="T5:AL18 T21:AL42 V46:W47 Z46:AA47 V50 V53:W55 V61 T63:AL77" name="Range2"/>
    <protectedRange sqref="AM5:BE18 AM21:BE42 AO46:AP47 AS46:AT47 AO50 AO53:AP55 AO61 AM63:BE77" name="Range3"/>
    <protectedRange sqref="C83:D382" name="Range1_1"/>
    <protectedRange sqref="V83:W382" name="Range1_2"/>
    <protectedRange sqref="AO83:AP382" name="Range1_3"/>
    <protectedRange sqref="BH83:BI382" name="Range1_4"/>
    <protectedRange sqref="CA83:CB382" name="Range1_5"/>
    <protectedRange sqref="C56:D57 V56:W57 AO56:AP57 BH56:BI57" name="Range1_6"/>
  </protectedRanges>
  <mergeCells count="154">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 ref="BF5:BX5"/>
    <mergeCell ref="BF47:BG47"/>
    <mergeCell ref="BH47:BI47"/>
    <mergeCell ref="BJ47:BK47"/>
    <mergeCell ref="BL47:BM47"/>
    <mergeCell ref="AM5:BE5"/>
    <mergeCell ref="BB46:BD46"/>
    <mergeCell ref="AQ47:AR47"/>
    <mergeCell ref="AS47:AT47"/>
    <mergeCell ref="BH46:BI46"/>
    <mergeCell ref="T5:AL5"/>
    <mergeCell ref="V46:W46"/>
    <mergeCell ref="X46:Y46"/>
    <mergeCell ref="Z46:AA46"/>
    <mergeCell ref="AG46:AH46"/>
    <mergeCell ref="AI46:AK46"/>
    <mergeCell ref="AO50:AP50"/>
    <mergeCell ref="AM46:AN46"/>
    <mergeCell ref="AO46:AP46"/>
    <mergeCell ref="AM47:AN47"/>
    <mergeCell ref="AO47:AP47"/>
    <mergeCell ref="V50:W50"/>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s>
  <phoneticPr fontId="0" type="noConversion"/>
  <conditionalFormatting sqref="C62">
    <cfRule type="expression" dxfId="48" priority="35" stopIfTrue="1">
      <formula>C62="PASS"</formula>
    </cfRule>
    <cfRule type="expression" dxfId="47" priority="36" stopIfTrue="1">
      <formula>C62="FAIL"</formula>
    </cfRule>
  </conditionalFormatting>
  <conditionalFormatting sqref="C53:D53">
    <cfRule type="cellIs" dxfId="46" priority="16" operator="lessThan">
      <formula>200</formula>
    </cfRule>
  </conditionalFormatting>
  <conditionalFormatting sqref="C56:D56">
    <cfRule type="expression" dxfId="45" priority="9">
      <formula>$C$56&lt;0.4*$C$57</formula>
    </cfRule>
  </conditionalFormatting>
  <conditionalFormatting sqref="C57:D57">
    <cfRule type="expression" dxfId="44" priority="10">
      <formula>$C$57&lt;0.4*$C$56</formula>
    </cfRule>
  </conditionalFormatting>
  <conditionalFormatting sqref="V62">
    <cfRule type="expression" dxfId="43" priority="25" stopIfTrue="1">
      <formula>V62="PASS"</formula>
    </cfRule>
    <cfRule type="expression" dxfId="42" priority="26" stopIfTrue="1">
      <formula>V62="FAIL"</formula>
    </cfRule>
  </conditionalFormatting>
  <conditionalFormatting sqref="V53:W53">
    <cfRule type="cellIs" dxfId="41" priority="15" operator="lessThan">
      <formula>200</formula>
    </cfRule>
  </conditionalFormatting>
  <conditionalFormatting sqref="V56:W56">
    <cfRule type="expression" dxfId="40" priority="1">
      <formula>$V$56&lt;0.4*$V$57</formula>
    </cfRule>
  </conditionalFormatting>
  <conditionalFormatting sqref="V57:W57">
    <cfRule type="expression" dxfId="39" priority="8">
      <formula>$V$57&lt;0.4*$V$56</formula>
    </cfRule>
  </conditionalFormatting>
  <conditionalFormatting sqref="AO62">
    <cfRule type="expression" dxfId="38" priority="21" stopIfTrue="1">
      <formula>AO62="PASS"</formula>
    </cfRule>
    <cfRule type="expression" dxfId="37" priority="22" stopIfTrue="1">
      <formula>AO62="FAIL"</formula>
    </cfRule>
  </conditionalFormatting>
  <conditionalFormatting sqref="AO53:AP53">
    <cfRule type="cellIs" dxfId="36" priority="14" operator="lessThan">
      <formula>200</formula>
    </cfRule>
  </conditionalFormatting>
  <conditionalFormatting sqref="AO56:AP56">
    <cfRule type="expression" dxfId="35" priority="5">
      <formula>$AO$56&lt;0.4*$AO$57</formula>
    </cfRule>
  </conditionalFormatting>
  <conditionalFormatting sqref="AO57:AP57">
    <cfRule type="expression" dxfId="34" priority="6">
      <formula>$AO$57&lt;0.4*$AO$56</formula>
    </cfRule>
  </conditionalFormatting>
  <conditionalFormatting sqref="BH62">
    <cfRule type="expression" dxfId="33" priority="17" stopIfTrue="1">
      <formula>BH62="PASS"</formula>
    </cfRule>
    <cfRule type="expression" dxfId="32" priority="18" stopIfTrue="1">
      <formula>BH62="FAIL"</formula>
    </cfRule>
  </conditionalFormatting>
  <conditionalFormatting sqref="BH53:BI53">
    <cfRule type="cellIs" dxfId="31" priority="13" operator="lessThan">
      <formula>200</formula>
    </cfRule>
  </conditionalFormatting>
  <conditionalFormatting sqref="BH56:BI56">
    <cfRule type="expression" dxfId="30" priority="3">
      <formula>$BH$56&lt;0.4*$BH$57</formula>
    </cfRule>
  </conditionalFormatting>
  <conditionalFormatting sqref="BH57:BI57">
    <cfRule type="expression" dxfId="29" priority="4">
      <formula>$BH$57&lt;0.4*$BH$56</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1"/>
  <sheetViews>
    <sheetView showGridLines="0" topLeftCell="A29" zoomScaleNormal="100" zoomScaleSheetLayoutView="100" workbookViewId="0">
      <selection sqref="A1:S1"/>
    </sheetView>
  </sheetViews>
  <sheetFormatPr baseColWidth="10" defaultColWidth="11.46484375" defaultRowHeight="12.75"/>
  <cols>
    <col min="1" max="76" width="5" style="123" customWidth="1"/>
    <col min="77" max="16384" width="11.46484375" style="123"/>
  </cols>
  <sheetData>
    <row r="1" spans="1:76" ht="13.15">
      <c r="A1" s="1237" t="s">
        <v>673</v>
      </c>
      <c r="B1" s="1237"/>
      <c r="C1" s="1237"/>
      <c r="D1" s="1237"/>
      <c r="E1" s="1237"/>
      <c r="F1" s="1237"/>
      <c r="G1" s="1237"/>
      <c r="H1" s="1237"/>
      <c r="I1" s="1237"/>
      <c r="J1" s="1237"/>
      <c r="K1" s="1237"/>
      <c r="L1" s="1237"/>
      <c r="M1" s="1237"/>
      <c r="N1" s="1237"/>
      <c r="O1" s="1237"/>
      <c r="P1" s="1237"/>
      <c r="Q1" s="1237"/>
      <c r="R1" s="1237"/>
      <c r="S1" s="1237"/>
      <c r="T1" s="1237" t="s">
        <v>674</v>
      </c>
      <c r="U1" s="1237"/>
      <c r="V1" s="1237"/>
      <c r="W1" s="1237"/>
      <c r="X1" s="1237"/>
      <c r="Y1" s="1237"/>
      <c r="Z1" s="1237"/>
      <c r="AA1" s="1237"/>
      <c r="AB1" s="1237"/>
      <c r="AC1" s="1237"/>
      <c r="AD1" s="1237"/>
      <c r="AE1" s="1237"/>
      <c r="AF1" s="1237"/>
      <c r="AG1" s="1237"/>
      <c r="AH1" s="1237"/>
      <c r="AI1" s="1237"/>
      <c r="AJ1" s="1237"/>
      <c r="AK1" s="1237"/>
      <c r="AL1" s="1237"/>
      <c r="AM1" s="1237" t="s">
        <v>675</v>
      </c>
      <c r="AN1" s="1237"/>
      <c r="AO1" s="1237"/>
      <c r="AP1" s="1237"/>
      <c r="AQ1" s="1237"/>
      <c r="AR1" s="1237"/>
      <c r="AS1" s="1237"/>
      <c r="AT1" s="1237"/>
      <c r="AU1" s="1237"/>
      <c r="AV1" s="1237"/>
      <c r="AW1" s="1237"/>
      <c r="AX1" s="1237"/>
      <c r="AY1" s="1237"/>
      <c r="AZ1" s="1237"/>
      <c r="BA1" s="1237"/>
      <c r="BB1" s="1237"/>
      <c r="BC1" s="1237"/>
      <c r="BD1" s="1237"/>
      <c r="BE1" s="1237"/>
      <c r="BF1" s="1237" t="s">
        <v>676</v>
      </c>
      <c r="BG1" s="1237"/>
      <c r="BH1" s="1237"/>
      <c r="BI1" s="1237"/>
      <c r="BJ1" s="1237"/>
      <c r="BK1" s="1237"/>
      <c r="BL1" s="1237"/>
      <c r="BM1" s="1237"/>
      <c r="BN1" s="1237"/>
      <c r="BO1" s="1237"/>
      <c r="BP1" s="1237"/>
      <c r="BQ1" s="1237"/>
      <c r="BR1" s="1237"/>
      <c r="BS1" s="1237"/>
      <c r="BT1" s="1237"/>
      <c r="BU1" s="1237"/>
      <c r="BV1" s="1237"/>
      <c r="BW1" s="1237"/>
      <c r="BX1" s="1237"/>
    </row>
    <row r="3" spans="1:76">
      <c r="A3" s="123" t="s">
        <v>39</v>
      </c>
      <c r="D3" s="1471" t="str">
        <f>IF('Cover Sheet'!$D$14&gt;0,'Cover Sheet'!$D$14,"")</f>
        <v>Ecole Centrale Lyon</v>
      </c>
      <c r="E3" s="1471"/>
      <c r="F3" s="1471"/>
      <c r="G3" s="1471"/>
      <c r="H3" s="1471"/>
      <c r="I3" s="1471"/>
      <c r="J3" s="1471"/>
      <c r="K3" s="123" t="s">
        <v>40</v>
      </c>
      <c r="O3" s="1471" t="str">
        <f>IF('Cover Sheet'!O14&gt;0,'Cover Sheet'!O14,"")</f>
        <v>81 FSCH</v>
      </c>
      <c r="P3" s="1471"/>
      <c r="Q3" s="1471"/>
      <c r="R3" s="1471"/>
      <c r="S3" s="1471"/>
      <c r="T3" s="123" t="s">
        <v>39</v>
      </c>
      <c r="W3" s="1471" t="str">
        <f>IF('Cover Sheet'!$D$14&gt;0,'Cover Sheet'!$D$14,"")</f>
        <v>Ecole Centrale Lyon</v>
      </c>
      <c r="X3" s="1471"/>
      <c r="Y3" s="1471"/>
      <c r="Z3" s="1471"/>
      <c r="AA3" s="1471"/>
      <c r="AB3" s="1471"/>
      <c r="AC3" s="1471"/>
      <c r="AD3" s="123" t="s">
        <v>40</v>
      </c>
      <c r="AH3" s="1471" t="str">
        <f>IF('Cover Sheet'!O14&gt;0,'Cover Sheet'!O14,"")</f>
        <v>81 FSCH</v>
      </c>
      <c r="AI3" s="1471"/>
      <c r="AJ3" s="1471"/>
      <c r="AK3" s="1471"/>
      <c r="AL3" s="1471"/>
      <c r="AM3" s="123" t="s">
        <v>39</v>
      </c>
      <c r="AP3" s="1471" t="str">
        <f>IF('Cover Sheet'!$D$14&gt;0,'Cover Sheet'!$D$14,"")</f>
        <v>Ecole Centrale Lyon</v>
      </c>
      <c r="AQ3" s="1471"/>
      <c r="AR3" s="1471"/>
      <c r="AS3" s="1471"/>
      <c r="AT3" s="1471"/>
      <c r="AU3" s="1471"/>
      <c r="AV3" s="1471"/>
      <c r="AW3" s="123" t="s">
        <v>40</v>
      </c>
      <c r="BA3" s="1471" t="str">
        <f>IF('Cover Sheet'!O14&gt;0,'Cover Sheet'!O14,"")</f>
        <v>81 FSCH</v>
      </c>
      <c r="BB3" s="1471"/>
      <c r="BC3" s="1471"/>
      <c r="BD3" s="1471"/>
      <c r="BE3" s="1471"/>
      <c r="BF3" s="123" t="s">
        <v>39</v>
      </c>
      <c r="BI3" s="1471" t="str">
        <f>IF('Cover Sheet'!$D$14&gt;0,'Cover Sheet'!$D$14,"")</f>
        <v>Ecole Centrale Lyon</v>
      </c>
      <c r="BJ3" s="1471"/>
      <c r="BK3" s="1471"/>
      <c r="BL3" s="1471"/>
      <c r="BM3" s="1471"/>
      <c r="BN3" s="1471"/>
      <c r="BO3" s="1471"/>
      <c r="BP3" s="123" t="s">
        <v>40</v>
      </c>
      <c r="BT3" s="1471" t="str">
        <f>IF('Cover Sheet'!O14&gt;0,'Cover Sheet'!O14,"")</f>
        <v>81 FSCH</v>
      </c>
      <c r="BU3" s="1471"/>
      <c r="BV3" s="1471"/>
      <c r="BW3" s="1471"/>
      <c r="BX3" s="1471"/>
    </row>
    <row r="5" spans="1:76" ht="12.75" customHeight="1">
      <c r="A5" s="1211"/>
      <c r="B5" s="1212"/>
      <c r="C5" s="1212"/>
      <c r="D5" s="1212"/>
      <c r="E5" s="1212"/>
      <c r="F5" s="1212"/>
      <c r="G5" s="1212"/>
      <c r="H5" s="1212"/>
      <c r="I5" s="1212"/>
      <c r="J5" s="1212"/>
      <c r="K5" s="1212"/>
      <c r="L5" s="1212"/>
      <c r="M5" s="1212"/>
      <c r="N5" s="1212"/>
      <c r="O5" s="1212"/>
      <c r="P5" s="1212"/>
      <c r="Q5" s="1212"/>
      <c r="R5" s="1212"/>
      <c r="S5" s="1213"/>
      <c r="T5" s="1211"/>
      <c r="U5" s="1212"/>
      <c r="V5" s="1212"/>
      <c r="W5" s="1212"/>
      <c r="X5" s="1212"/>
      <c r="Y5" s="1212"/>
      <c r="Z5" s="1212"/>
      <c r="AA5" s="1212"/>
      <c r="AB5" s="1212"/>
      <c r="AC5" s="1212"/>
      <c r="AD5" s="1212"/>
      <c r="AE5" s="1212"/>
      <c r="AF5" s="1212"/>
      <c r="AG5" s="1212"/>
      <c r="AH5" s="1212"/>
      <c r="AI5" s="1212"/>
      <c r="AJ5" s="1212"/>
      <c r="AK5" s="1212"/>
      <c r="AL5" s="1213"/>
      <c r="AM5" s="1211"/>
      <c r="AN5" s="1212"/>
      <c r="AO5" s="1212"/>
      <c r="AP5" s="1212"/>
      <c r="AQ5" s="1212"/>
      <c r="AR5" s="1212"/>
      <c r="AS5" s="1212"/>
      <c r="AT5" s="1212"/>
      <c r="AU5" s="1212"/>
      <c r="AV5" s="1212"/>
      <c r="AW5" s="1212"/>
      <c r="AX5" s="1212"/>
      <c r="AY5" s="1212"/>
      <c r="AZ5" s="1212"/>
      <c r="BA5" s="1212"/>
      <c r="BB5" s="1212"/>
      <c r="BC5" s="1212"/>
      <c r="BD5" s="1212"/>
      <c r="BE5" s="1213"/>
      <c r="BF5" s="1211"/>
      <c r="BG5" s="1212"/>
      <c r="BH5" s="1212"/>
      <c r="BI5" s="1212"/>
      <c r="BJ5" s="1212"/>
      <c r="BK5" s="1212"/>
      <c r="BL5" s="1212"/>
      <c r="BM5" s="1212"/>
      <c r="BN5" s="1212"/>
      <c r="BO5" s="1212"/>
      <c r="BP5" s="1212"/>
      <c r="BQ5" s="1212"/>
      <c r="BR5" s="1212"/>
      <c r="BS5" s="1212"/>
      <c r="BT5" s="1212"/>
      <c r="BU5" s="1212"/>
      <c r="BV5" s="1212"/>
      <c r="BW5" s="1212"/>
      <c r="BX5" s="1213"/>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c r="AM7" s="28"/>
      <c r="AN7" s="388" t="s">
        <v>220</v>
      </c>
      <c r="AO7" s="26"/>
      <c r="AP7" s="28"/>
      <c r="AQ7" s="26"/>
      <c r="AR7" s="26"/>
      <c r="AS7" s="26"/>
      <c r="AT7" s="26"/>
      <c r="AU7" s="26"/>
      <c r="AV7" s="26"/>
      <c r="AW7" s="26"/>
      <c r="AX7" s="26"/>
      <c r="AY7" s="26"/>
      <c r="AZ7" s="26"/>
      <c r="BA7" s="26"/>
      <c r="BB7" s="26"/>
      <c r="BC7" s="26"/>
      <c r="BD7" s="26"/>
      <c r="BE7" s="27"/>
      <c r="BF7" s="28"/>
      <c r="BG7" s="388" t="s">
        <v>220</v>
      </c>
      <c r="BH7" s="26"/>
      <c r="BI7" s="28"/>
      <c r="BJ7" s="26"/>
      <c r="BK7" s="26"/>
      <c r="BL7" s="26"/>
      <c r="BM7" s="26"/>
      <c r="BN7" s="26"/>
      <c r="BO7" s="26"/>
      <c r="BP7" s="26"/>
      <c r="BQ7" s="26"/>
      <c r="BR7" s="26"/>
      <c r="BS7" s="26"/>
      <c r="BT7" s="26"/>
      <c r="BU7" s="26"/>
      <c r="BV7" s="26"/>
      <c r="BW7" s="26"/>
      <c r="BX7" s="27"/>
    </row>
    <row r="8" spans="1:76">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c r="AM8" s="28"/>
      <c r="AN8" s="252"/>
      <c r="AO8" s="26"/>
      <c r="AP8" s="28"/>
      <c r="AQ8" s="26"/>
      <c r="AR8" s="26"/>
      <c r="AS8" s="26"/>
      <c r="AT8" s="26"/>
      <c r="AU8" s="26"/>
      <c r="AV8" s="26"/>
      <c r="AW8" s="26"/>
      <c r="AX8" s="26"/>
      <c r="AY8" s="26"/>
      <c r="AZ8" s="26"/>
      <c r="BA8" s="26"/>
      <c r="BB8" s="26"/>
      <c r="BC8" s="26"/>
      <c r="BD8" s="26"/>
      <c r="BE8" s="27"/>
      <c r="BF8" s="28"/>
      <c r="BG8" s="252"/>
      <c r="BH8" s="26"/>
      <c r="BI8" s="28"/>
      <c r="BJ8" s="26"/>
      <c r="BK8" s="26"/>
      <c r="BL8" s="26"/>
      <c r="BM8" s="26"/>
      <c r="BN8" s="26"/>
      <c r="BO8" s="26"/>
      <c r="BP8" s="26"/>
      <c r="BQ8" s="26"/>
      <c r="BR8" s="26"/>
      <c r="BS8" s="26"/>
      <c r="BT8" s="26"/>
      <c r="BU8" s="26"/>
      <c r="BV8" s="26"/>
      <c r="BW8" s="26"/>
      <c r="BX8" s="27"/>
    </row>
    <row r="9" spans="1:76">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c r="AM9" s="28"/>
      <c r="AN9" s="388" t="s">
        <v>221</v>
      </c>
      <c r="AO9" s="26"/>
      <c r="AP9" s="28"/>
      <c r="AQ9" s="26"/>
      <c r="AR9" s="26"/>
      <c r="AS9" s="26"/>
      <c r="AT9" s="26"/>
      <c r="AU9" s="26"/>
      <c r="AV9" s="26"/>
      <c r="AW9" s="26"/>
      <c r="AX9" s="26"/>
      <c r="AY9" s="26"/>
      <c r="AZ9" s="26"/>
      <c r="BA9" s="26"/>
      <c r="BB9" s="26"/>
      <c r="BC9" s="26"/>
      <c r="BD9" s="26"/>
      <c r="BE9" s="27"/>
      <c r="BF9" s="28"/>
      <c r="BG9" s="388" t="s">
        <v>221</v>
      </c>
      <c r="BH9" s="26"/>
      <c r="BI9" s="28"/>
      <c r="BJ9" s="26"/>
      <c r="BK9" s="26"/>
      <c r="BL9" s="26"/>
      <c r="BM9" s="26"/>
      <c r="BN9" s="26"/>
      <c r="BO9" s="26"/>
      <c r="BP9" s="26"/>
      <c r="BQ9" s="26"/>
      <c r="BR9" s="26"/>
      <c r="BS9" s="26"/>
      <c r="BT9" s="26"/>
      <c r="BU9" s="26"/>
      <c r="BV9" s="26"/>
      <c r="BW9" s="26"/>
      <c r="BX9" s="27"/>
    </row>
    <row r="10" spans="1:76">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c r="AM10" s="28"/>
      <c r="AN10" s="252"/>
      <c r="AO10" s="26"/>
      <c r="AP10" s="26"/>
      <c r="AQ10" s="26"/>
      <c r="AR10" s="26"/>
      <c r="AS10" s="26"/>
      <c r="AT10" s="26"/>
      <c r="AU10" s="26"/>
      <c r="AV10" s="26"/>
      <c r="AW10" s="26"/>
      <c r="AX10" s="26"/>
      <c r="AY10" s="26"/>
      <c r="AZ10" s="26"/>
      <c r="BA10" s="26"/>
      <c r="BB10" s="26"/>
      <c r="BC10" s="26"/>
      <c r="BD10" s="26"/>
      <c r="BE10" s="27"/>
      <c r="BF10" s="28"/>
      <c r="BG10" s="252"/>
      <c r="BH10" s="26"/>
      <c r="BI10" s="26"/>
      <c r="BJ10" s="26"/>
      <c r="BK10" s="26"/>
      <c r="BL10" s="26"/>
      <c r="BM10" s="26"/>
      <c r="BN10" s="26"/>
      <c r="BO10" s="26"/>
      <c r="BP10" s="26"/>
      <c r="BQ10" s="26"/>
      <c r="BR10" s="26"/>
      <c r="BS10" s="26"/>
      <c r="BT10" s="26"/>
      <c r="BU10" s="26"/>
      <c r="BV10" s="26"/>
      <c r="BW10" s="26"/>
      <c r="BX10" s="27"/>
    </row>
    <row r="11" spans="1:76">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c r="AM11" s="25"/>
      <c r="AN11" s="388" t="s">
        <v>222</v>
      </c>
      <c r="AO11" s="26"/>
      <c r="AP11" s="26"/>
      <c r="AQ11" s="26"/>
      <c r="AR11" s="26"/>
      <c r="AS11" s="26"/>
      <c r="AT11" s="26"/>
      <c r="AU11" s="26"/>
      <c r="AV11" s="26"/>
      <c r="AW11" s="26"/>
      <c r="AX11" s="26"/>
      <c r="AY11" s="26"/>
      <c r="AZ11" s="26"/>
      <c r="BA11" s="26"/>
      <c r="BB11" s="26"/>
      <c r="BC11" s="26"/>
      <c r="BD11" s="26"/>
      <c r="BE11" s="27"/>
      <c r="BF11" s="25"/>
      <c r="BG11" s="388" t="s">
        <v>222</v>
      </c>
      <c r="BH11" s="26"/>
      <c r="BI11" s="26"/>
      <c r="BJ11" s="26"/>
      <c r="BK11" s="26"/>
      <c r="BL11" s="26"/>
      <c r="BM11" s="26"/>
      <c r="BN11" s="26"/>
      <c r="BO11" s="26"/>
      <c r="BP11" s="26"/>
      <c r="BQ11" s="26"/>
      <c r="BR11" s="26"/>
      <c r="BS11" s="26"/>
      <c r="BT11" s="26"/>
      <c r="BU11" s="26"/>
      <c r="BV11" s="26"/>
      <c r="BW11" s="26"/>
      <c r="BX11" s="27"/>
    </row>
    <row r="12" spans="1:76">
      <c r="A12" s="177"/>
      <c r="B12" s="178"/>
      <c r="C12" s="178"/>
      <c r="D12" s="178"/>
      <c r="E12" s="178"/>
      <c r="F12" s="178"/>
      <c r="G12" s="178"/>
      <c r="H12" s="178"/>
      <c r="I12" s="178"/>
      <c r="J12" s="178"/>
      <c r="K12" s="178"/>
      <c r="L12" s="178"/>
      <c r="M12" s="178"/>
      <c r="N12" s="178"/>
      <c r="O12" s="178"/>
      <c r="P12" s="178"/>
      <c r="Q12" s="178"/>
      <c r="R12" s="178"/>
      <c r="S12" s="179"/>
      <c r="T12" s="177"/>
      <c r="U12" s="178"/>
      <c r="V12" s="178"/>
      <c r="W12" s="178"/>
      <c r="X12" s="178"/>
      <c r="Y12" s="178"/>
      <c r="Z12" s="178"/>
      <c r="AA12" s="178"/>
      <c r="AB12" s="178"/>
      <c r="AC12" s="178"/>
      <c r="AD12" s="178"/>
      <c r="AE12" s="178"/>
      <c r="AF12" s="178"/>
      <c r="AG12" s="178"/>
      <c r="AH12" s="178"/>
      <c r="AI12" s="178"/>
      <c r="AJ12" s="178"/>
      <c r="AK12" s="178"/>
      <c r="AL12" s="179"/>
      <c r="AM12" s="177"/>
      <c r="AN12" s="178"/>
      <c r="AO12" s="178"/>
      <c r="AP12" s="178"/>
      <c r="AQ12" s="178"/>
      <c r="AR12" s="178"/>
      <c r="AS12" s="178"/>
      <c r="AT12" s="178"/>
      <c r="AU12" s="178"/>
      <c r="AV12" s="178"/>
      <c r="AW12" s="178"/>
      <c r="AX12" s="178"/>
      <c r="AY12" s="178"/>
      <c r="AZ12" s="178"/>
      <c r="BA12" s="178"/>
      <c r="BB12" s="178"/>
      <c r="BC12" s="178"/>
      <c r="BD12" s="178"/>
      <c r="BE12" s="179"/>
      <c r="BF12" s="177"/>
      <c r="BG12" s="178"/>
      <c r="BH12" s="178"/>
      <c r="BI12" s="178"/>
      <c r="BJ12" s="178"/>
      <c r="BK12" s="178"/>
      <c r="BL12" s="178"/>
      <c r="BM12" s="178"/>
      <c r="BN12" s="178"/>
      <c r="BO12" s="178"/>
      <c r="BP12" s="178"/>
      <c r="BQ12" s="178"/>
      <c r="BR12" s="178"/>
      <c r="BS12" s="178"/>
      <c r="BT12" s="178"/>
      <c r="BU12" s="178"/>
      <c r="BV12" s="178"/>
      <c r="BW12" s="178"/>
      <c r="BX12" s="179"/>
    </row>
    <row r="13" spans="1:76">
      <c r="A13" s="177"/>
      <c r="B13" s="178"/>
      <c r="C13" s="178"/>
      <c r="D13" s="178"/>
      <c r="E13" s="178"/>
      <c r="F13" s="178"/>
      <c r="G13" s="181"/>
      <c r="H13" s="178"/>
      <c r="I13" s="178"/>
      <c r="J13" s="178"/>
      <c r="K13" s="178"/>
      <c r="L13" s="178"/>
      <c r="M13" s="178"/>
      <c r="N13" s="178"/>
      <c r="O13" s="178"/>
      <c r="P13" s="178"/>
      <c r="Q13" s="178"/>
      <c r="R13" s="178"/>
      <c r="S13" s="179"/>
      <c r="T13" s="177"/>
      <c r="U13" s="178"/>
      <c r="V13" s="178"/>
      <c r="W13" s="178"/>
      <c r="X13" s="178"/>
      <c r="Y13" s="178"/>
      <c r="Z13" s="181"/>
      <c r="AA13" s="178"/>
      <c r="AB13" s="178"/>
      <c r="AC13" s="178"/>
      <c r="AD13" s="178"/>
      <c r="AE13" s="178"/>
      <c r="AF13" s="178"/>
      <c r="AG13" s="178"/>
      <c r="AH13" s="178"/>
      <c r="AI13" s="178"/>
      <c r="AJ13" s="178"/>
      <c r="AK13" s="178"/>
      <c r="AL13" s="179"/>
      <c r="AM13" s="177"/>
      <c r="AN13" s="178"/>
      <c r="AO13" s="178"/>
      <c r="AP13" s="178"/>
      <c r="AQ13" s="178"/>
      <c r="AR13" s="178"/>
      <c r="AS13" s="181"/>
      <c r="AT13" s="178"/>
      <c r="AU13" s="178"/>
      <c r="AV13" s="178"/>
      <c r="AW13" s="178"/>
      <c r="AX13" s="178"/>
      <c r="AY13" s="178"/>
      <c r="AZ13" s="178"/>
      <c r="BA13" s="178"/>
      <c r="BB13" s="178"/>
      <c r="BC13" s="178"/>
      <c r="BD13" s="178"/>
      <c r="BE13" s="179"/>
      <c r="BF13" s="177"/>
      <c r="BG13" s="178"/>
      <c r="BH13" s="178"/>
      <c r="BI13" s="178"/>
      <c r="BJ13" s="178"/>
      <c r="BK13" s="178"/>
      <c r="BL13" s="181"/>
      <c r="BM13" s="178"/>
      <c r="BN13" s="178"/>
      <c r="BO13" s="178"/>
      <c r="BP13" s="178"/>
      <c r="BQ13" s="178"/>
      <c r="BR13" s="178"/>
      <c r="BS13" s="178"/>
      <c r="BT13" s="178"/>
      <c r="BU13" s="178"/>
      <c r="BV13" s="178"/>
      <c r="BW13" s="178"/>
      <c r="BX13" s="179"/>
    </row>
    <row r="14" spans="1:76">
      <c r="A14" s="177"/>
      <c r="B14" s="178"/>
      <c r="C14" s="178"/>
      <c r="D14" s="178"/>
      <c r="E14" s="178"/>
      <c r="F14" s="178"/>
      <c r="G14" s="178"/>
      <c r="H14" s="178"/>
      <c r="I14" s="178"/>
      <c r="J14" s="178"/>
      <c r="K14" s="178"/>
      <c r="L14" s="178"/>
      <c r="M14" s="178"/>
      <c r="N14" s="178"/>
      <c r="O14" s="178"/>
      <c r="P14" s="178"/>
      <c r="Q14" s="178"/>
      <c r="R14" s="178"/>
      <c r="S14" s="179"/>
      <c r="T14" s="177"/>
      <c r="U14" s="178"/>
      <c r="V14" s="178"/>
      <c r="W14" s="178"/>
      <c r="X14" s="178"/>
      <c r="Y14" s="178"/>
      <c r="Z14" s="178"/>
      <c r="AA14" s="178"/>
      <c r="AB14" s="178"/>
      <c r="AC14" s="178"/>
      <c r="AD14" s="178"/>
      <c r="AE14" s="178"/>
      <c r="AF14" s="178"/>
      <c r="AG14" s="178"/>
      <c r="AH14" s="178"/>
      <c r="AI14" s="178"/>
      <c r="AJ14" s="178"/>
      <c r="AK14" s="178"/>
      <c r="AL14" s="179"/>
      <c r="AM14" s="177"/>
      <c r="AN14" s="178"/>
      <c r="AO14" s="178"/>
      <c r="AP14" s="178"/>
      <c r="AQ14" s="178"/>
      <c r="AR14" s="178"/>
      <c r="AS14" s="178"/>
      <c r="AT14" s="178"/>
      <c r="AU14" s="178"/>
      <c r="AV14" s="178"/>
      <c r="AW14" s="178"/>
      <c r="AX14" s="178"/>
      <c r="AY14" s="178"/>
      <c r="AZ14" s="178"/>
      <c r="BA14" s="178"/>
      <c r="BB14" s="178"/>
      <c r="BC14" s="178"/>
      <c r="BD14" s="178"/>
      <c r="BE14" s="179"/>
      <c r="BF14" s="177"/>
      <c r="BG14" s="178"/>
      <c r="BH14" s="178"/>
      <c r="BI14" s="178"/>
      <c r="BJ14" s="178"/>
      <c r="BK14" s="178"/>
      <c r="BL14" s="178"/>
      <c r="BM14" s="178"/>
      <c r="BN14" s="178"/>
      <c r="BO14" s="178"/>
      <c r="BP14" s="178"/>
      <c r="BQ14" s="178"/>
      <c r="BR14" s="178"/>
      <c r="BS14" s="178"/>
      <c r="BT14" s="178"/>
      <c r="BU14" s="178"/>
      <c r="BV14" s="178"/>
      <c r="BW14" s="178"/>
      <c r="BX14" s="179"/>
    </row>
    <row r="15" spans="1:76">
      <c r="A15" s="177"/>
      <c r="B15" s="178"/>
      <c r="C15" s="178"/>
      <c r="D15" s="178"/>
      <c r="E15" s="178"/>
      <c r="F15" s="178"/>
      <c r="G15" s="178"/>
      <c r="H15" s="178"/>
      <c r="I15" s="178"/>
      <c r="J15" s="178"/>
      <c r="K15" s="178"/>
      <c r="L15" s="178"/>
      <c r="M15" s="178"/>
      <c r="N15" s="178"/>
      <c r="O15" s="178"/>
      <c r="P15" s="178"/>
      <c r="Q15" s="178"/>
      <c r="R15" s="178"/>
      <c r="S15" s="179"/>
      <c r="T15" s="177"/>
      <c r="U15" s="178"/>
      <c r="V15" s="178"/>
      <c r="W15" s="178"/>
      <c r="X15" s="178"/>
      <c r="Y15" s="178"/>
      <c r="Z15" s="178"/>
      <c r="AA15" s="178"/>
      <c r="AB15" s="178"/>
      <c r="AC15" s="178"/>
      <c r="AD15" s="178"/>
      <c r="AE15" s="178"/>
      <c r="AF15" s="178"/>
      <c r="AG15" s="178"/>
      <c r="AH15" s="178"/>
      <c r="AI15" s="178"/>
      <c r="AJ15" s="178"/>
      <c r="AK15" s="178"/>
      <c r="AL15" s="179"/>
      <c r="AM15" s="177"/>
      <c r="AN15" s="178"/>
      <c r="AO15" s="178"/>
      <c r="AP15" s="178"/>
      <c r="AQ15" s="178"/>
      <c r="AR15" s="178"/>
      <c r="AS15" s="178"/>
      <c r="AT15" s="178"/>
      <c r="AU15" s="178"/>
      <c r="AV15" s="178"/>
      <c r="AW15" s="178"/>
      <c r="AX15" s="178"/>
      <c r="AY15" s="178"/>
      <c r="AZ15" s="178"/>
      <c r="BA15" s="178"/>
      <c r="BB15" s="178"/>
      <c r="BC15" s="178"/>
      <c r="BD15" s="178"/>
      <c r="BE15" s="179"/>
      <c r="BF15" s="177"/>
      <c r="BG15" s="178"/>
      <c r="BH15" s="178"/>
      <c r="BI15" s="178"/>
      <c r="BJ15" s="178"/>
      <c r="BK15" s="178"/>
      <c r="BL15" s="178"/>
      <c r="BM15" s="178"/>
      <c r="BN15" s="178"/>
      <c r="BO15" s="178"/>
      <c r="BP15" s="178"/>
      <c r="BQ15" s="178"/>
      <c r="BR15" s="178"/>
      <c r="BS15" s="178"/>
      <c r="BT15" s="178"/>
      <c r="BU15" s="178"/>
      <c r="BV15" s="178"/>
      <c r="BW15" s="178"/>
      <c r="BX15" s="179"/>
    </row>
    <row r="16" spans="1:76">
      <c r="A16" s="177"/>
      <c r="B16" s="178"/>
      <c r="C16" s="178"/>
      <c r="D16" s="178"/>
      <c r="E16" s="178"/>
      <c r="F16" s="178"/>
      <c r="G16" s="178"/>
      <c r="H16" s="178"/>
      <c r="I16" s="178"/>
      <c r="J16" s="178"/>
      <c r="K16" s="178"/>
      <c r="L16" s="178"/>
      <c r="M16" s="178"/>
      <c r="N16" s="178"/>
      <c r="O16" s="178"/>
      <c r="P16" s="178"/>
      <c r="Q16" s="178"/>
      <c r="R16" s="178"/>
      <c r="S16" s="179"/>
      <c r="T16" s="177"/>
      <c r="U16" s="178"/>
      <c r="V16" s="178"/>
      <c r="W16" s="178"/>
      <c r="X16" s="178"/>
      <c r="Y16" s="178"/>
      <c r="Z16" s="178"/>
      <c r="AA16" s="178"/>
      <c r="AB16" s="178"/>
      <c r="AC16" s="178"/>
      <c r="AD16" s="178"/>
      <c r="AE16" s="178"/>
      <c r="AF16" s="178"/>
      <c r="AG16" s="178"/>
      <c r="AH16" s="178"/>
      <c r="AI16" s="178"/>
      <c r="AJ16" s="178"/>
      <c r="AK16" s="178"/>
      <c r="AL16" s="179"/>
      <c r="AM16" s="177"/>
      <c r="AN16" s="178"/>
      <c r="AO16" s="178"/>
      <c r="AP16" s="178"/>
      <c r="AQ16" s="178"/>
      <c r="AR16" s="178"/>
      <c r="AS16" s="178"/>
      <c r="AT16" s="178"/>
      <c r="AU16" s="178"/>
      <c r="AV16" s="178"/>
      <c r="AW16" s="178"/>
      <c r="AX16" s="178"/>
      <c r="AY16" s="178"/>
      <c r="AZ16" s="178"/>
      <c r="BA16" s="178"/>
      <c r="BB16" s="178"/>
      <c r="BC16" s="178"/>
      <c r="BD16" s="178"/>
      <c r="BE16" s="179"/>
      <c r="BF16" s="177"/>
      <c r="BG16" s="178"/>
      <c r="BH16" s="178"/>
      <c r="BI16" s="178"/>
      <c r="BJ16" s="178"/>
      <c r="BK16" s="178"/>
      <c r="BL16" s="178"/>
      <c r="BM16" s="178"/>
      <c r="BN16" s="178"/>
      <c r="BO16" s="178"/>
      <c r="BP16" s="178"/>
      <c r="BQ16" s="178"/>
      <c r="BR16" s="178"/>
      <c r="BS16" s="178"/>
      <c r="BT16" s="178"/>
      <c r="BU16" s="178"/>
      <c r="BV16" s="178"/>
      <c r="BW16" s="178"/>
      <c r="BX16" s="179"/>
    </row>
    <row r="17" spans="1:76">
      <c r="A17" s="177"/>
      <c r="B17" s="178"/>
      <c r="C17" s="178"/>
      <c r="D17" s="178"/>
      <c r="E17" s="178"/>
      <c r="F17" s="178"/>
      <c r="G17" s="178"/>
      <c r="H17" s="178"/>
      <c r="I17" s="178"/>
      <c r="J17" s="178"/>
      <c r="K17" s="178"/>
      <c r="L17" s="178"/>
      <c r="M17" s="178"/>
      <c r="N17" s="178"/>
      <c r="O17" s="178"/>
      <c r="P17" s="178"/>
      <c r="Q17" s="178"/>
      <c r="R17" s="178"/>
      <c r="S17" s="179"/>
      <c r="T17" s="177"/>
      <c r="U17" s="178"/>
      <c r="V17" s="178"/>
      <c r="W17" s="178"/>
      <c r="X17" s="178"/>
      <c r="Y17" s="178"/>
      <c r="Z17" s="178"/>
      <c r="AA17" s="178"/>
      <c r="AB17" s="178"/>
      <c r="AC17" s="178"/>
      <c r="AD17" s="178"/>
      <c r="AE17" s="178"/>
      <c r="AF17" s="178"/>
      <c r="AG17" s="178"/>
      <c r="AH17" s="178"/>
      <c r="AI17" s="178"/>
      <c r="AJ17" s="178"/>
      <c r="AK17" s="178"/>
      <c r="AL17" s="179"/>
      <c r="AM17" s="177"/>
      <c r="AN17" s="178"/>
      <c r="AO17" s="178"/>
      <c r="AP17" s="178"/>
      <c r="AQ17" s="178"/>
      <c r="AR17" s="178"/>
      <c r="AS17" s="178"/>
      <c r="AT17" s="178"/>
      <c r="AU17" s="178"/>
      <c r="AV17" s="178"/>
      <c r="AW17" s="178"/>
      <c r="AX17" s="178"/>
      <c r="AY17" s="178"/>
      <c r="AZ17" s="178"/>
      <c r="BA17" s="178"/>
      <c r="BB17" s="178"/>
      <c r="BC17" s="178"/>
      <c r="BD17" s="178"/>
      <c r="BE17" s="179"/>
      <c r="BF17" s="177"/>
      <c r="BG17" s="178"/>
      <c r="BH17" s="178"/>
      <c r="BI17" s="178"/>
      <c r="BJ17" s="178"/>
      <c r="BK17" s="178"/>
      <c r="BL17" s="178"/>
      <c r="BM17" s="178"/>
      <c r="BN17" s="178"/>
      <c r="BO17" s="178"/>
      <c r="BP17" s="178"/>
      <c r="BQ17" s="178"/>
      <c r="BR17" s="178"/>
      <c r="BS17" s="178"/>
      <c r="BT17" s="178"/>
      <c r="BU17" s="178"/>
      <c r="BV17" s="178"/>
      <c r="BW17" s="178"/>
      <c r="BX17" s="179"/>
    </row>
    <row r="18" spans="1:76">
      <c r="A18" s="182"/>
      <c r="B18" s="183"/>
      <c r="C18" s="183"/>
      <c r="D18" s="183"/>
      <c r="E18" s="184"/>
      <c r="F18" s="184"/>
      <c r="G18" s="183"/>
      <c r="H18" s="184"/>
      <c r="I18" s="183"/>
      <c r="J18" s="183"/>
      <c r="K18" s="183"/>
      <c r="L18" s="183"/>
      <c r="M18" s="183"/>
      <c r="N18" s="183"/>
      <c r="O18" s="183"/>
      <c r="P18" s="183"/>
      <c r="Q18" s="183"/>
      <c r="R18" s="183"/>
      <c r="S18" s="185"/>
      <c r="T18" s="182"/>
      <c r="U18" s="183"/>
      <c r="V18" s="183"/>
      <c r="W18" s="183"/>
      <c r="X18" s="184"/>
      <c r="Y18" s="184"/>
      <c r="Z18" s="183"/>
      <c r="AA18" s="184"/>
      <c r="AB18" s="183"/>
      <c r="AC18" s="183"/>
      <c r="AD18" s="183"/>
      <c r="AE18" s="183"/>
      <c r="AF18" s="183"/>
      <c r="AG18" s="183"/>
      <c r="AH18" s="183"/>
      <c r="AI18" s="183"/>
      <c r="AJ18" s="183"/>
      <c r="AK18" s="183"/>
      <c r="AL18" s="185"/>
      <c r="AM18" s="182"/>
      <c r="AN18" s="183"/>
      <c r="AO18" s="183"/>
      <c r="AP18" s="183"/>
      <c r="AQ18" s="184"/>
      <c r="AR18" s="184"/>
      <c r="AS18" s="183"/>
      <c r="AT18" s="184"/>
      <c r="AU18" s="183"/>
      <c r="AV18" s="183"/>
      <c r="AW18" s="183"/>
      <c r="AX18" s="183"/>
      <c r="AY18" s="183"/>
      <c r="AZ18" s="183"/>
      <c r="BA18" s="183"/>
      <c r="BB18" s="183"/>
      <c r="BC18" s="183"/>
      <c r="BD18" s="183"/>
      <c r="BE18" s="185"/>
      <c r="BF18" s="182"/>
      <c r="BG18" s="183"/>
      <c r="BH18" s="183"/>
      <c r="BI18" s="183"/>
      <c r="BJ18" s="184"/>
      <c r="BK18" s="184"/>
      <c r="BL18" s="183"/>
      <c r="BM18" s="184"/>
      <c r="BN18" s="183"/>
      <c r="BO18" s="183"/>
      <c r="BP18" s="183"/>
      <c r="BQ18" s="183"/>
      <c r="BR18" s="183"/>
      <c r="BS18" s="183"/>
      <c r="BT18" s="183"/>
      <c r="BU18" s="183"/>
      <c r="BV18" s="183"/>
      <c r="BW18" s="183"/>
      <c r="BX18" s="185"/>
    </row>
    <row r="19" spans="1:76">
      <c r="A19" s="289" t="s">
        <v>677</v>
      </c>
      <c r="B19" s="186"/>
      <c r="C19" s="186"/>
      <c r="D19" s="186"/>
      <c r="E19" s="186"/>
      <c r="F19" s="186"/>
      <c r="G19" s="186"/>
      <c r="H19" s="186"/>
      <c r="I19" s="186"/>
      <c r="J19" s="186"/>
      <c r="K19" s="186"/>
      <c r="L19" s="186"/>
      <c r="M19" s="186"/>
      <c r="N19" s="186"/>
      <c r="O19" s="186"/>
      <c r="P19" s="186"/>
      <c r="Q19" s="186"/>
      <c r="R19" s="186"/>
      <c r="S19" s="187"/>
      <c r="T19" s="289" t="s">
        <v>678</v>
      </c>
      <c r="U19" s="186"/>
      <c r="V19" s="186"/>
      <c r="W19" s="186"/>
      <c r="X19" s="186"/>
      <c r="Y19" s="186"/>
      <c r="Z19" s="186"/>
      <c r="AA19" s="186"/>
      <c r="AB19" s="186"/>
      <c r="AC19" s="186"/>
      <c r="AD19" s="186"/>
      <c r="AE19" s="186"/>
      <c r="AF19" s="186"/>
      <c r="AG19" s="186"/>
      <c r="AH19" s="186"/>
      <c r="AI19" s="186"/>
      <c r="AJ19" s="186"/>
      <c r="AK19" s="186"/>
      <c r="AL19" s="187"/>
      <c r="AM19" s="289" t="s">
        <v>679</v>
      </c>
      <c r="AN19" s="186"/>
      <c r="AO19" s="186"/>
      <c r="AP19" s="186"/>
      <c r="AQ19" s="186"/>
      <c r="AR19" s="186"/>
      <c r="AS19" s="186"/>
      <c r="AT19" s="186"/>
      <c r="AU19" s="186"/>
      <c r="AV19" s="186"/>
      <c r="AW19" s="186"/>
      <c r="AX19" s="186"/>
      <c r="AY19" s="186"/>
      <c r="AZ19" s="186"/>
      <c r="BA19" s="186"/>
      <c r="BB19" s="186"/>
      <c r="BC19" s="186"/>
      <c r="BD19" s="186"/>
      <c r="BE19" s="187"/>
      <c r="BF19" s="289" t="s">
        <v>680</v>
      </c>
      <c r="BG19" s="186"/>
      <c r="BH19" s="186"/>
      <c r="BI19" s="186"/>
      <c r="BJ19" s="186"/>
      <c r="BK19" s="186"/>
      <c r="BL19" s="186"/>
      <c r="BM19" s="186"/>
      <c r="BN19" s="186"/>
      <c r="BO19" s="186"/>
      <c r="BP19" s="186"/>
      <c r="BQ19" s="186"/>
      <c r="BR19" s="186"/>
      <c r="BS19" s="186"/>
      <c r="BT19" s="186"/>
      <c r="BU19" s="186"/>
      <c r="BV19" s="186"/>
      <c r="BW19" s="186"/>
      <c r="BX19" s="187"/>
    </row>
    <row r="20" spans="1:76">
      <c r="A20" s="188"/>
      <c r="B20" s="186"/>
      <c r="C20" s="186"/>
      <c r="D20" s="186"/>
      <c r="E20" s="186"/>
      <c r="F20" s="186"/>
      <c r="G20" s="186"/>
      <c r="H20" s="186"/>
      <c r="I20" s="186"/>
      <c r="J20" s="186"/>
      <c r="K20" s="186"/>
      <c r="L20" s="186"/>
      <c r="M20" s="186"/>
      <c r="N20" s="186"/>
      <c r="O20" s="186"/>
      <c r="P20" s="186"/>
      <c r="Q20" s="186"/>
      <c r="R20" s="186"/>
      <c r="S20" s="187"/>
      <c r="T20" s="188"/>
      <c r="U20" s="186"/>
      <c r="V20" s="186"/>
      <c r="W20" s="186"/>
      <c r="X20" s="186"/>
      <c r="Y20" s="186"/>
      <c r="Z20" s="186"/>
      <c r="AA20" s="186"/>
      <c r="AB20" s="186"/>
      <c r="AC20" s="186"/>
      <c r="AD20" s="186"/>
      <c r="AE20" s="186"/>
      <c r="AF20" s="186"/>
      <c r="AG20" s="186"/>
      <c r="AH20" s="186"/>
      <c r="AI20" s="186"/>
      <c r="AJ20" s="186"/>
      <c r="AK20" s="186"/>
      <c r="AL20" s="187"/>
      <c r="AM20" s="188"/>
      <c r="AN20" s="186"/>
      <c r="AO20" s="186"/>
      <c r="AP20" s="186"/>
      <c r="AQ20" s="186"/>
      <c r="AR20" s="186"/>
      <c r="AS20" s="186"/>
      <c r="AT20" s="186"/>
      <c r="AU20" s="186"/>
      <c r="AV20" s="186"/>
      <c r="AW20" s="186"/>
      <c r="AX20" s="186"/>
      <c r="AY20" s="186"/>
      <c r="AZ20" s="186"/>
      <c r="BA20" s="186"/>
      <c r="BB20" s="186"/>
      <c r="BC20" s="186"/>
      <c r="BD20" s="186"/>
      <c r="BE20" s="187"/>
      <c r="BF20" s="188"/>
      <c r="BG20" s="186"/>
      <c r="BH20" s="186"/>
      <c r="BI20" s="186"/>
      <c r="BJ20" s="186"/>
      <c r="BK20" s="186"/>
      <c r="BL20" s="186"/>
      <c r="BM20" s="186"/>
      <c r="BN20" s="186"/>
      <c r="BO20" s="186"/>
      <c r="BP20" s="186"/>
      <c r="BQ20" s="186"/>
      <c r="BR20" s="186"/>
      <c r="BS20" s="186"/>
      <c r="BT20" s="186"/>
      <c r="BU20" s="186"/>
      <c r="BV20" s="186"/>
      <c r="BW20" s="186"/>
      <c r="BX20" s="187"/>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c r="AM23" s="25"/>
      <c r="AN23" s="388" t="s">
        <v>225</v>
      </c>
      <c r="AO23" s="26"/>
      <c r="AP23" s="26"/>
      <c r="AQ23" s="26"/>
      <c r="AR23" s="26"/>
      <c r="AS23" s="26"/>
      <c r="AT23" s="26"/>
      <c r="AU23" s="26"/>
      <c r="AV23" s="26"/>
      <c r="AW23" s="26"/>
      <c r="AX23" s="26"/>
      <c r="AY23" s="26"/>
      <c r="AZ23" s="26"/>
      <c r="BA23" s="26"/>
      <c r="BB23" s="26"/>
      <c r="BC23" s="26"/>
      <c r="BD23" s="26"/>
      <c r="BE23" s="27"/>
      <c r="BF23" s="25"/>
      <c r="BG23" s="388" t="s">
        <v>225</v>
      </c>
      <c r="BH23" s="26"/>
      <c r="BI23" s="26"/>
      <c r="BJ23" s="26"/>
      <c r="BK23" s="26"/>
      <c r="BL23" s="26"/>
      <c r="BM23" s="26"/>
      <c r="BN23" s="26"/>
      <c r="BO23" s="26"/>
      <c r="BP23" s="26"/>
      <c r="BQ23" s="26"/>
      <c r="BR23" s="26"/>
      <c r="BS23" s="26"/>
      <c r="BT23" s="26"/>
      <c r="BU23" s="26"/>
      <c r="BV23" s="26"/>
      <c r="BW23" s="26"/>
      <c r="BX23" s="27"/>
    </row>
    <row r="24" spans="1:76">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c r="AM24" s="25"/>
      <c r="AN24" s="249"/>
      <c r="AO24" s="26"/>
      <c r="AP24" s="26"/>
      <c r="AQ24" s="26"/>
      <c r="AR24" s="26"/>
      <c r="AS24" s="26"/>
      <c r="AT24" s="26"/>
      <c r="AU24" s="26"/>
      <c r="AV24" s="26"/>
      <c r="AW24" s="26"/>
      <c r="AX24" s="26"/>
      <c r="AY24" s="26"/>
      <c r="AZ24" s="26"/>
      <c r="BA24" s="26"/>
      <c r="BB24" s="26"/>
      <c r="BC24" s="26"/>
      <c r="BD24" s="26"/>
      <c r="BE24" s="27"/>
      <c r="BF24" s="25"/>
      <c r="BG24" s="249"/>
      <c r="BH24" s="26"/>
      <c r="BI24" s="26"/>
      <c r="BJ24" s="26"/>
      <c r="BK24" s="26"/>
      <c r="BL24" s="26"/>
      <c r="BM24" s="26"/>
      <c r="BN24" s="26"/>
      <c r="BO24" s="26"/>
      <c r="BP24" s="26"/>
      <c r="BQ24" s="26"/>
      <c r="BR24" s="26"/>
      <c r="BS24" s="26"/>
      <c r="BT24" s="26"/>
      <c r="BU24" s="26"/>
      <c r="BV24" s="26"/>
      <c r="BW24" s="26"/>
      <c r="BX24" s="27"/>
    </row>
    <row r="25" spans="1:76">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c r="AM25" s="25"/>
      <c r="AN25" s="388" t="s">
        <v>226</v>
      </c>
      <c r="AO25" s="26"/>
      <c r="AP25" s="26"/>
      <c r="AQ25" s="26"/>
      <c r="AR25" s="26"/>
      <c r="AS25" s="26"/>
      <c r="AT25" s="26"/>
      <c r="AU25" s="26"/>
      <c r="AV25" s="26"/>
      <c r="AW25" s="26"/>
      <c r="AX25" s="26"/>
      <c r="AY25" s="26"/>
      <c r="AZ25" s="26"/>
      <c r="BA25" s="26"/>
      <c r="BB25" s="26"/>
      <c r="BC25" s="26"/>
      <c r="BD25" s="26"/>
      <c r="BE25" s="27"/>
      <c r="BF25" s="25"/>
      <c r="BG25" s="388" t="s">
        <v>226</v>
      </c>
      <c r="BH25" s="26"/>
      <c r="BI25" s="26"/>
      <c r="BJ25" s="26"/>
      <c r="BK25" s="26"/>
      <c r="BL25" s="26"/>
      <c r="BM25" s="26"/>
      <c r="BN25" s="26"/>
      <c r="BO25" s="26"/>
      <c r="BP25" s="26"/>
      <c r="BQ25" s="26"/>
      <c r="BR25" s="26"/>
      <c r="BS25" s="26"/>
      <c r="BT25" s="26"/>
      <c r="BU25" s="26"/>
      <c r="BV25" s="26"/>
      <c r="BW25" s="26"/>
      <c r="BX25" s="27"/>
    </row>
    <row r="26" spans="1:76">
      <c r="A26" s="177"/>
      <c r="B26" s="249"/>
      <c r="C26" s="178"/>
      <c r="D26" s="178"/>
      <c r="E26" s="178"/>
      <c r="F26" s="178"/>
      <c r="G26" s="178"/>
      <c r="H26" s="178"/>
      <c r="I26" s="178"/>
      <c r="J26" s="178"/>
      <c r="K26" s="178"/>
      <c r="L26" s="178"/>
      <c r="M26" s="178"/>
      <c r="N26" s="178"/>
      <c r="O26" s="178"/>
      <c r="P26" s="178"/>
      <c r="Q26" s="178"/>
      <c r="R26" s="178"/>
      <c r="S26" s="179"/>
      <c r="T26" s="177"/>
      <c r="U26" s="249"/>
      <c r="V26" s="178"/>
      <c r="W26" s="178"/>
      <c r="X26" s="178"/>
      <c r="Y26" s="178"/>
      <c r="Z26" s="178"/>
      <c r="AA26" s="178"/>
      <c r="AB26" s="178"/>
      <c r="AC26" s="178"/>
      <c r="AD26" s="178"/>
      <c r="AE26" s="178"/>
      <c r="AF26" s="178"/>
      <c r="AG26" s="178"/>
      <c r="AH26" s="178"/>
      <c r="AI26" s="178"/>
      <c r="AJ26" s="178"/>
      <c r="AK26" s="178"/>
      <c r="AL26" s="179"/>
      <c r="AM26" s="177"/>
      <c r="AN26" s="249"/>
      <c r="AO26" s="178"/>
      <c r="AP26" s="178"/>
      <c r="AQ26" s="178"/>
      <c r="AR26" s="178"/>
      <c r="AS26" s="178"/>
      <c r="AT26" s="178"/>
      <c r="AU26" s="178"/>
      <c r="AV26" s="178"/>
      <c r="AW26" s="178"/>
      <c r="AX26" s="178"/>
      <c r="AY26" s="178"/>
      <c r="AZ26" s="178"/>
      <c r="BA26" s="178"/>
      <c r="BB26" s="178"/>
      <c r="BC26" s="178"/>
      <c r="BD26" s="178"/>
      <c r="BE26" s="179"/>
      <c r="BF26" s="177"/>
      <c r="BG26" s="249"/>
      <c r="BH26" s="178"/>
      <c r="BI26" s="178"/>
      <c r="BJ26" s="178"/>
      <c r="BK26" s="178"/>
      <c r="BL26" s="178"/>
      <c r="BM26" s="178"/>
      <c r="BN26" s="178"/>
      <c r="BO26" s="178"/>
      <c r="BP26" s="178"/>
      <c r="BQ26" s="178"/>
      <c r="BR26" s="178"/>
      <c r="BS26" s="178"/>
      <c r="BT26" s="178"/>
      <c r="BU26" s="178"/>
      <c r="BV26" s="178"/>
      <c r="BW26" s="178"/>
      <c r="BX26" s="179"/>
    </row>
    <row r="27" spans="1:76">
      <c r="A27" s="177"/>
      <c r="B27" s="388" t="s">
        <v>227</v>
      </c>
      <c r="C27" s="178"/>
      <c r="D27" s="178"/>
      <c r="E27" s="178"/>
      <c r="F27" s="178"/>
      <c r="G27" s="178"/>
      <c r="H27" s="178"/>
      <c r="I27" s="178"/>
      <c r="J27" s="178"/>
      <c r="K27" s="178"/>
      <c r="L27" s="178"/>
      <c r="M27" s="178"/>
      <c r="N27" s="178"/>
      <c r="O27" s="178"/>
      <c r="P27" s="178"/>
      <c r="Q27" s="178"/>
      <c r="R27" s="178"/>
      <c r="S27" s="179"/>
      <c r="T27" s="177"/>
      <c r="U27" s="388" t="s">
        <v>227</v>
      </c>
      <c r="V27" s="178"/>
      <c r="W27" s="178"/>
      <c r="X27" s="178"/>
      <c r="Y27" s="178"/>
      <c r="Z27" s="178"/>
      <c r="AA27" s="178"/>
      <c r="AB27" s="178"/>
      <c r="AC27" s="178"/>
      <c r="AD27" s="178"/>
      <c r="AE27" s="178"/>
      <c r="AF27" s="178"/>
      <c r="AG27" s="178"/>
      <c r="AH27" s="178"/>
      <c r="AI27" s="178"/>
      <c r="AJ27" s="178"/>
      <c r="AK27" s="178"/>
      <c r="AL27" s="179"/>
      <c r="AM27" s="177"/>
      <c r="AN27" s="388" t="s">
        <v>227</v>
      </c>
      <c r="AO27" s="178"/>
      <c r="AP27" s="178"/>
      <c r="AQ27" s="178"/>
      <c r="AR27" s="178"/>
      <c r="AS27" s="178"/>
      <c r="AT27" s="178"/>
      <c r="AU27" s="178"/>
      <c r="AV27" s="178"/>
      <c r="AW27" s="178"/>
      <c r="AX27" s="178"/>
      <c r="AY27" s="178"/>
      <c r="AZ27" s="178"/>
      <c r="BA27" s="178"/>
      <c r="BB27" s="178"/>
      <c r="BC27" s="178"/>
      <c r="BD27" s="178"/>
      <c r="BE27" s="179"/>
      <c r="BF27" s="177"/>
      <c r="BG27" s="388" t="s">
        <v>227</v>
      </c>
      <c r="BH27" s="178"/>
      <c r="BI27" s="178"/>
      <c r="BJ27" s="178"/>
      <c r="BK27" s="178"/>
      <c r="BL27" s="178"/>
      <c r="BM27" s="178"/>
      <c r="BN27" s="178"/>
      <c r="BO27" s="178"/>
      <c r="BP27" s="178"/>
      <c r="BQ27" s="178"/>
      <c r="BR27" s="178"/>
      <c r="BS27" s="178"/>
      <c r="BT27" s="178"/>
      <c r="BU27" s="178"/>
      <c r="BV27" s="178"/>
      <c r="BW27" s="178"/>
      <c r="BX27" s="179"/>
    </row>
    <row r="28" spans="1:76">
      <c r="A28" s="177"/>
      <c r="B28" s="178"/>
      <c r="C28" s="178"/>
      <c r="D28" s="178"/>
      <c r="E28" s="178"/>
      <c r="F28" s="178"/>
      <c r="G28" s="178"/>
      <c r="H28" s="178"/>
      <c r="I28" s="178"/>
      <c r="J28" s="178"/>
      <c r="K28" s="178"/>
      <c r="L28" s="178"/>
      <c r="M28" s="178"/>
      <c r="N28" s="178"/>
      <c r="O28" s="178"/>
      <c r="P28" s="178"/>
      <c r="Q28" s="178"/>
      <c r="R28" s="178"/>
      <c r="S28" s="179"/>
      <c r="T28" s="177"/>
      <c r="U28" s="178"/>
      <c r="V28" s="178"/>
      <c r="W28" s="178"/>
      <c r="X28" s="178"/>
      <c r="Y28" s="178"/>
      <c r="Z28" s="178"/>
      <c r="AA28" s="178"/>
      <c r="AB28" s="178"/>
      <c r="AC28" s="178"/>
      <c r="AD28" s="178"/>
      <c r="AE28" s="178"/>
      <c r="AF28" s="178"/>
      <c r="AG28" s="178"/>
      <c r="AH28" s="178"/>
      <c r="AI28" s="178"/>
      <c r="AJ28" s="178"/>
      <c r="AK28" s="178"/>
      <c r="AL28" s="179"/>
      <c r="AM28" s="177"/>
      <c r="AN28" s="178"/>
      <c r="AO28" s="178"/>
      <c r="AP28" s="178"/>
      <c r="AQ28" s="178"/>
      <c r="AR28" s="178"/>
      <c r="AS28" s="178"/>
      <c r="AT28" s="178"/>
      <c r="AU28" s="178"/>
      <c r="AV28" s="178"/>
      <c r="AW28" s="178"/>
      <c r="AX28" s="178"/>
      <c r="AY28" s="178"/>
      <c r="AZ28" s="178"/>
      <c r="BA28" s="178"/>
      <c r="BB28" s="178"/>
      <c r="BC28" s="178"/>
      <c r="BD28" s="178"/>
      <c r="BE28" s="179"/>
      <c r="BF28" s="177"/>
      <c r="BG28" s="178"/>
      <c r="BH28" s="178"/>
      <c r="BI28" s="178"/>
      <c r="BJ28" s="178"/>
      <c r="BK28" s="178"/>
      <c r="BL28" s="178"/>
      <c r="BM28" s="178"/>
      <c r="BN28" s="178"/>
      <c r="BO28" s="178"/>
      <c r="BP28" s="178"/>
      <c r="BQ28" s="178"/>
      <c r="BR28" s="178"/>
      <c r="BS28" s="178"/>
      <c r="BT28" s="178"/>
      <c r="BU28" s="178"/>
      <c r="BV28" s="178"/>
      <c r="BW28" s="178"/>
      <c r="BX28" s="179"/>
    </row>
    <row r="29" spans="1:76">
      <c r="A29" s="177"/>
      <c r="B29" s="178"/>
      <c r="C29" s="178"/>
      <c r="D29" s="178"/>
      <c r="E29" s="178"/>
      <c r="F29" s="178"/>
      <c r="G29" s="178"/>
      <c r="H29" s="178"/>
      <c r="I29" s="178"/>
      <c r="J29" s="178"/>
      <c r="K29" s="178"/>
      <c r="L29" s="178"/>
      <c r="M29" s="178"/>
      <c r="N29" s="178"/>
      <c r="O29" s="178"/>
      <c r="P29" s="178"/>
      <c r="Q29" s="178"/>
      <c r="R29" s="178"/>
      <c r="S29" s="179"/>
      <c r="T29" s="177"/>
      <c r="U29" s="178"/>
      <c r="V29" s="178"/>
      <c r="W29" s="178"/>
      <c r="X29" s="178"/>
      <c r="Y29" s="178"/>
      <c r="Z29" s="178"/>
      <c r="AA29" s="178"/>
      <c r="AB29" s="178"/>
      <c r="AC29" s="178"/>
      <c r="AD29" s="178"/>
      <c r="AE29" s="178"/>
      <c r="AF29" s="178"/>
      <c r="AG29" s="178"/>
      <c r="AH29" s="178"/>
      <c r="AI29" s="178"/>
      <c r="AJ29" s="178"/>
      <c r="AK29" s="178"/>
      <c r="AL29" s="179"/>
      <c r="AM29" s="177"/>
      <c r="AN29" s="178"/>
      <c r="AO29" s="178"/>
      <c r="AP29" s="178"/>
      <c r="AQ29" s="178"/>
      <c r="AR29" s="178"/>
      <c r="AS29" s="178"/>
      <c r="AT29" s="178"/>
      <c r="AU29" s="178"/>
      <c r="AV29" s="178"/>
      <c r="AW29" s="178"/>
      <c r="AX29" s="178"/>
      <c r="AY29" s="178"/>
      <c r="AZ29" s="178"/>
      <c r="BA29" s="178"/>
      <c r="BB29" s="178"/>
      <c r="BC29" s="178"/>
      <c r="BD29" s="178"/>
      <c r="BE29" s="179"/>
      <c r="BF29" s="177"/>
      <c r="BG29" s="178"/>
      <c r="BH29" s="178"/>
      <c r="BI29" s="178"/>
      <c r="BJ29" s="178"/>
      <c r="BK29" s="178"/>
      <c r="BL29" s="178"/>
      <c r="BM29" s="178"/>
      <c r="BN29" s="178"/>
      <c r="BO29" s="178"/>
      <c r="BP29" s="178"/>
      <c r="BQ29" s="178"/>
      <c r="BR29" s="178"/>
      <c r="BS29" s="178"/>
      <c r="BT29" s="178"/>
      <c r="BU29" s="178"/>
      <c r="BV29" s="178"/>
      <c r="BW29" s="178"/>
      <c r="BX29" s="179"/>
    </row>
    <row r="30" spans="1:76">
      <c r="A30" s="177"/>
      <c r="B30" s="178"/>
      <c r="C30" s="178"/>
      <c r="D30" s="178"/>
      <c r="E30" s="178"/>
      <c r="F30" s="178"/>
      <c r="G30" s="178"/>
      <c r="H30" s="178"/>
      <c r="I30" s="178"/>
      <c r="J30" s="178"/>
      <c r="K30" s="178"/>
      <c r="L30" s="178"/>
      <c r="M30" s="178"/>
      <c r="N30" s="178"/>
      <c r="O30" s="178"/>
      <c r="P30" s="178"/>
      <c r="Q30" s="178"/>
      <c r="R30" s="178"/>
      <c r="S30" s="179"/>
      <c r="T30" s="177"/>
      <c r="U30" s="178"/>
      <c r="V30" s="178"/>
      <c r="W30" s="178"/>
      <c r="X30" s="178"/>
      <c r="Y30" s="178"/>
      <c r="Z30" s="178"/>
      <c r="AA30" s="178"/>
      <c r="AB30" s="178"/>
      <c r="AC30" s="178"/>
      <c r="AD30" s="178"/>
      <c r="AE30" s="178"/>
      <c r="AF30" s="178"/>
      <c r="AG30" s="178"/>
      <c r="AH30" s="178"/>
      <c r="AI30" s="178"/>
      <c r="AJ30" s="178"/>
      <c r="AK30" s="178"/>
      <c r="AL30" s="179"/>
      <c r="AM30" s="177"/>
      <c r="AN30" s="178"/>
      <c r="AO30" s="178"/>
      <c r="AP30" s="178"/>
      <c r="AQ30" s="178"/>
      <c r="AR30" s="178"/>
      <c r="AS30" s="178"/>
      <c r="AT30" s="178"/>
      <c r="AU30" s="178"/>
      <c r="AV30" s="178"/>
      <c r="AW30" s="178"/>
      <c r="AX30" s="178"/>
      <c r="AY30" s="178"/>
      <c r="AZ30" s="178"/>
      <c r="BA30" s="178"/>
      <c r="BB30" s="178"/>
      <c r="BC30" s="178"/>
      <c r="BD30" s="178"/>
      <c r="BE30" s="179"/>
      <c r="BF30" s="177"/>
      <c r="BG30" s="178"/>
      <c r="BH30" s="178"/>
      <c r="BI30" s="178"/>
      <c r="BJ30" s="178"/>
      <c r="BK30" s="178"/>
      <c r="BL30" s="178"/>
      <c r="BM30" s="178"/>
      <c r="BN30" s="178"/>
      <c r="BO30" s="178"/>
      <c r="BP30" s="178"/>
      <c r="BQ30" s="178"/>
      <c r="BR30" s="178"/>
      <c r="BS30" s="178"/>
      <c r="BT30" s="178"/>
      <c r="BU30" s="178"/>
      <c r="BV30" s="178"/>
      <c r="BW30" s="178"/>
      <c r="BX30" s="179"/>
    </row>
    <row r="31" spans="1:76">
      <c r="A31" s="177"/>
      <c r="B31" s="178"/>
      <c r="C31" s="178"/>
      <c r="D31" s="178"/>
      <c r="E31" s="178"/>
      <c r="F31" s="178"/>
      <c r="G31" s="178"/>
      <c r="H31" s="178"/>
      <c r="I31" s="178"/>
      <c r="J31" s="178"/>
      <c r="K31" s="178"/>
      <c r="L31" s="178"/>
      <c r="M31" s="178"/>
      <c r="N31" s="178"/>
      <c r="O31" s="178"/>
      <c r="P31" s="178"/>
      <c r="Q31" s="178"/>
      <c r="R31" s="178"/>
      <c r="S31" s="179"/>
      <c r="T31" s="177"/>
      <c r="U31" s="178"/>
      <c r="V31" s="178"/>
      <c r="W31" s="178"/>
      <c r="X31" s="178"/>
      <c r="Y31" s="178"/>
      <c r="Z31" s="178"/>
      <c r="AA31" s="178"/>
      <c r="AB31" s="178"/>
      <c r="AC31" s="178"/>
      <c r="AD31" s="178"/>
      <c r="AE31" s="178"/>
      <c r="AF31" s="178"/>
      <c r="AG31" s="178"/>
      <c r="AH31" s="178"/>
      <c r="AI31" s="178"/>
      <c r="AJ31" s="178"/>
      <c r="AK31" s="178"/>
      <c r="AL31" s="179"/>
      <c r="AM31" s="177"/>
      <c r="AN31" s="178"/>
      <c r="AO31" s="178"/>
      <c r="AP31" s="178"/>
      <c r="AQ31" s="178"/>
      <c r="AR31" s="178"/>
      <c r="AS31" s="178"/>
      <c r="AT31" s="178"/>
      <c r="AU31" s="178"/>
      <c r="AV31" s="178"/>
      <c r="AW31" s="178"/>
      <c r="AX31" s="178"/>
      <c r="AY31" s="178"/>
      <c r="AZ31" s="178"/>
      <c r="BA31" s="178"/>
      <c r="BB31" s="178"/>
      <c r="BC31" s="178"/>
      <c r="BD31" s="178"/>
      <c r="BE31" s="179"/>
      <c r="BF31" s="177"/>
      <c r="BG31" s="178"/>
      <c r="BH31" s="178"/>
      <c r="BI31" s="178"/>
      <c r="BJ31" s="178"/>
      <c r="BK31" s="178"/>
      <c r="BL31" s="178"/>
      <c r="BM31" s="178"/>
      <c r="BN31" s="178"/>
      <c r="BO31" s="178"/>
      <c r="BP31" s="178"/>
      <c r="BQ31" s="178"/>
      <c r="BR31" s="178"/>
      <c r="BS31" s="178"/>
      <c r="BT31" s="178"/>
      <c r="BU31" s="178"/>
      <c r="BV31" s="178"/>
      <c r="BW31" s="178"/>
      <c r="BX31" s="179"/>
    </row>
    <row r="32" spans="1:76">
      <c r="A32" s="177"/>
      <c r="B32" s="178"/>
      <c r="C32" s="178"/>
      <c r="D32" s="178"/>
      <c r="E32" s="180"/>
      <c r="F32" s="180"/>
      <c r="G32" s="181"/>
      <c r="H32" s="178"/>
      <c r="I32" s="178"/>
      <c r="J32" s="178"/>
      <c r="K32" s="178"/>
      <c r="L32" s="178"/>
      <c r="M32" s="178"/>
      <c r="N32" s="178"/>
      <c r="O32" s="178"/>
      <c r="P32" s="178"/>
      <c r="Q32" s="178"/>
      <c r="R32" s="178"/>
      <c r="S32" s="179"/>
      <c r="T32" s="177"/>
      <c r="U32" s="178"/>
      <c r="V32" s="178"/>
      <c r="W32" s="178"/>
      <c r="X32" s="180"/>
      <c r="Y32" s="180"/>
      <c r="Z32" s="181"/>
      <c r="AA32" s="178"/>
      <c r="AB32" s="178"/>
      <c r="AC32" s="178"/>
      <c r="AD32" s="178"/>
      <c r="AE32" s="178"/>
      <c r="AF32" s="178"/>
      <c r="AG32" s="178"/>
      <c r="AH32" s="178"/>
      <c r="AI32" s="178"/>
      <c r="AJ32" s="178"/>
      <c r="AK32" s="178"/>
      <c r="AL32" s="179"/>
      <c r="AM32" s="177"/>
      <c r="AN32" s="178"/>
      <c r="AO32" s="178"/>
      <c r="AP32" s="178"/>
      <c r="AQ32" s="180"/>
      <c r="AR32" s="180"/>
      <c r="AS32" s="181"/>
      <c r="AT32" s="178"/>
      <c r="AU32" s="178"/>
      <c r="AV32" s="178"/>
      <c r="AW32" s="178"/>
      <c r="AX32" s="178"/>
      <c r="AY32" s="178"/>
      <c r="AZ32" s="178"/>
      <c r="BA32" s="178"/>
      <c r="BB32" s="178"/>
      <c r="BC32" s="178"/>
      <c r="BD32" s="178"/>
      <c r="BE32" s="179"/>
      <c r="BF32" s="177"/>
      <c r="BG32" s="178"/>
      <c r="BH32" s="178"/>
      <c r="BI32" s="178"/>
      <c r="BJ32" s="180"/>
      <c r="BK32" s="180"/>
      <c r="BL32" s="181"/>
      <c r="BM32" s="178"/>
      <c r="BN32" s="178"/>
      <c r="BO32" s="178"/>
      <c r="BP32" s="178"/>
      <c r="BQ32" s="178"/>
      <c r="BR32" s="178"/>
      <c r="BS32" s="178"/>
      <c r="BT32" s="178"/>
      <c r="BU32" s="178"/>
      <c r="BV32" s="178"/>
      <c r="BW32" s="178"/>
      <c r="BX32" s="179"/>
    </row>
    <row r="33" spans="1:76">
      <c r="A33" s="177"/>
      <c r="B33" s="178"/>
      <c r="C33" s="178"/>
      <c r="D33" s="181"/>
      <c r="E33" s="180"/>
      <c r="F33" s="178"/>
      <c r="G33" s="180"/>
      <c r="H33" s="178"/>
      <c r="I33" s="178"/>
      <c r="J33" s="178"/>
      <c r="K33" s="178"/>
      <c r="L33" s="178"/>
      <c r="M33" s="178"/>
      <c r="N33" s="178"/>
      <c r="O33" s="178"/>
      <c r="P33" s="178"/>
      <c r="Q33" s="178"/>
      <c r="R33" s="178"/>
      <c r="S33" s="179"/>
      <c r="T33" s="177"/>
      <c r="U33" s="178"/>
      <c r="V33" s="178"/>
      <c r="W33" s="181"/>
      <c r="X33" s="180"/>
      <c r="Y33" s="178"/>
      <c r="Z33" s="180"/>
      <c r="AA33" s="178"/>
      <c r="AB33" s="178"/>
      <c r="AC33" s="178"/>
      <c r="AD33" s="178"/>
      <c r="AE33" s="178"/>
      <c r="AF33" s="178"/>
      <c r="AG33" s="178"/>
      <c r="AH33" s="178"/>
      <c r="AI33" s="178"/>
      <c r="AJ33" s="178"/>
      <c r="AK33" s="178"/>
      <c r="AL33" s="179"/>
      <c r="AM33" s="177"/>
      <c r="AN33" s="178"/>
      <c r="AO33" s="178"/>
      <c r="AP33" s="181"/>
      <c r="AQ33" s="180"/>
      <c r="AR33" s="178"/>
      <c r="AS33" s="180"/>
      <c r="AT33" s="178"/>
      <c r="AU33" s="178"/>
      <c r="AV33" s="178"/>
      <c r="AW33" s="178"/>
      <c r="AX33" s="178"/>
      <c r="AY33" s="178"/>
      <c r="AZ33" s="178"/>
      <c r="BA33" s="178"/>
      <c r="BB33" s="178"/>
      <c r="BC33" s="178"/>
      <c r="BD33" s="178"/>
      <c r="BE33" s="179"/>
      <c r="BF33" s="177"/>
      <c r="BG33" s="178"/>
      <c r="BH33" s="178"/>
      <c r="BI33" s="181"/>
      <c r="BJ33" s="180"/>
      <c r="BK33" s="178"/>
      <c r="BL33" s="180"/>
      <c r="BM33" s="178"/>
      <c r="BN33" s="178"/>
      <c r="BO33" s="178"/>
      <c r="BP33" s="178"/>
      <c r="BQ33" s="178"/>
      <c r="BR33" s="178"/>
      <c r="BS33" s="178"/>
      <c r="BT33" s="178"/>
      <c r="BU33" s="178"/>
      <c r="BV33" s="178"/>
      <c r="BW33" s="178"/>
      <c r="BX33" s="179"/>
    </row>
    <row r="34" spans="1:76">
      <c r="A34" s="177"/>
      <c r="B34" s="178"/>
      <c r="C34" s="178"/>
      <c r="D34" s="178"/>
      <c r="E34" s="178"/>
      <c r="F34" s="178"/>
      <c r="G34" s="181"/>
      <c r="H34" s="178"/>
      <c r="I34" s="178"/>
      <c r="J34" s="178"/>
      <c r="K34" s="178"/>
      <c r="L34" s="178"/>
      <c r="M34" s="178"/>
      <c r="N34" s="178"/>
      <c r="O34" s="178"/>
      <c r="P34" s="178"/>
      <c r="Q34" s="178"/>
      <c r="R34" s="178"/>
      <c r="S34" s="179"/>
      <c r="T34" s="177"/>
      <c r="U34" s="178"/>
      <c r="V34" s="178"/>
      <c r="W34" s="178"/>
      <c r="X34" s="178"/>
      <c r="Y34" s="178"/>
      <c r="Z34" s="181"/>
      <c r="AA34" s="178"/>
      <c r="AB34" s="178"/>
      <c r="AC34" s="178"/>
      <c r="AD34" s="178"/>
      <c r="AE34" s="178"/>
      <c r="AF34" s="178"/>
      <c r="AG34" s="178"/>
      <c r="AH34" s="178"/>
      <c r="AI34" s="178"/>
      <c r="AJ34" s="178"/>
      <c r="AK34" s="178"/>
      <c r="AL34" s="179"/>
      <c r="AM34" s="177"/>
      <c r="AN34" s="178"/>
      <c r="AO34" s="178"/>
      <c r="AP34" s="178"/>
      <c r="AQ34" s="178"/>
      <c r="AR34" s="178"/>
      <c r="AS34" s="181"/>
      <c r="AT34" s="178"/>
      <c r="AU34" s="178"/>
      <c r="AV34" s="178"/>
      <c r="AW34" s="178"/>
      <c r="AX34" s="178"/>
      <c r="AY34" s="178"/>
      <c r="AZ34" s="178"/>
      <c r="BA34" s="178"/>
      <c r="BB34" s="178"/>
      <c r="BC34" s="178"/>
      <c r="BD34" s="178"/>
      <c r="BE34" s="179"/>
      <c r="BF34" s="177"/>
      <c r="BG34" s="178"/>
      <c r="BH34" s="178"/>
      <c r="BI34" s="178"/>
      <c r="BJ34" s="178"/>
      <c r="BK34" s="178"/>
      <c r="BL34" s="181"/>
      <c r="BM34" s="178"/>
      <c r="BN34" s="178"/>
      <c r="BO34" s="178"/>
      <c r="BP34" s="178"/>
      <c r="BQ34" s="178"/>
      <c r="BR34" s="178"/>
      <c r="BS34" s="178"/>
      <c r="BT34" s="178"/>
      <c r="BU34" s="178"/>
      <c r="BV34" s="178"/>
      <c r="BW34" s="178"/>
      <c r="BX34" s="179"/>
    </row>
    <row r="35" spans="1:76">
      <c r="A35" s="189"/>
      <c r="B35" s="178"/>
      <c r="C35" s="178"/>
      <c r="D35" s="178"/>
      <c r="E35" s="178"/>
      <c r="F35" s="178"/>
      <c r="G35" s="178"/>
      <c r="H35" s="178"/>
      <c r="I35" s="178"/>
      <c r="J35" s="178"/>
      <c r="K35" s="178"/>
      <c r="L35" s="178"/>
      <c r="M35" s="178"/>
      <c r="N35" s="178"/>
      <c r="O35" s="178"/>
      <c r="P35" s="178"/>
      <c r="Q35" s="178"/>
      <c r="R35" s="178"/>
      <c r="S35" s="179"/>
      <c r="T35" s="189"/>
      <c r="U35" s="178"/>
      <c r="V35" s="178"/>
      <c r="W35" s="178"/>
      <c r="X35" s="178"/>
      <c r="Y35" s="178"/>
      <c r="Z35" s="178"/>
      <c r="AA35" s="178"/>
      <c r="AB35" s="178"/>
      <c r="AC35" s="178"/>
      <c r="AD35" s="178"/>
      <c r="AE35" s="178"/>
      <c r="AF35" s="178"/>
      <c r="AG35" s="178"/>
      <c r="AH35" s="178"/>
      <c r="AI35" s="178"/>
      <c r="AJ35" s="178"/>
      <c r="AK35" s="178"/>
      <c r="AL35" s="179"/>
      <c r="AM35" s="189"/>
      <c r="AN35" s="178"/>
      <c r="AO35" s="178"/>
      <c r="AP35" s="178"/>
      <c r="AQ35" s="178"/>
      <c r="AR35" s="178"/>
      <c r="AS35" s="178"/>
      <c r="AT35" s="178"/>
      <c r="AU35" s="178"/>
      <c r="AV35" s="178"/>
      <c r="AW35" s="178"/>
      <c r="AX35" s="178"/>
      <c r="AY35" s="178"/>
      <c r="AZ35" s="178"/>
      <c r="BA35" s="178"/>
      <c r="BB35" s="178"/>
      <c r="BC35" s="178"/>
      <c r="BD35" s="178"/>
      <c r="BE35" s="179"/>
      <c r="BF35" s="189"/>
      <c r="BG35" s="178"/>
      <c r="BH35" s="178"/>
      <c r="BI35" s="178"/>
      <c r="BJ35" s="178"/>
      <c r="BK35" s="178"/>
      <c r="BL35" s="178"/>
      <c r="BM35" s="178"/>
      <c r="BN35" s="178"/>
      <c r="BO35" s="178"/>
      <c r="BP35" s="178"/>
      <c r="BQ35" s="178"/>
      <c r="BR35" s="178"/>
      <c r="BS35" s="178"/>
      <c r="BT35" s="178"/>
      <c r="BU35" s="178"/>
      <c r="BV35" s="178"/>
      <c r="BW35" s="178"/>
      <c r="BX35" s="179"/>
    </row>
    <row r="36" spans="1:76">
      <c r="A36" s="189"/>
      <c r="B36" s="178"/>
      <c r="C36" s="178"/>
      <c r="D36" s="178"/>
      <c r="E36" s="178"/>
      <c r="F36" s="178"/>
      <c r="G36" s="178"/>
      <c r="H36" s="178"/>
      <c r="I36" s="178"/>
      <c r="J36" s="178"/>
      <c r="K36" s="178"/>
      <c r="L36" s="178"/>
      <c r="M36" s="178"/>
      <c r="N36" s="178"/>
      <c r="O36" s="178"/>
      <c r="P36" s="178"/>
      <c r="Q36" s="178"/>
      <c r="R36" s="178"/>
      <c r="S36" s="179"/>
      <c r="T36" s="189"/>
      <c r="U36" s="178"/>
      <c r="V36" s="178"/>
      <c r="W36" s="178"/>
      <c r="X36" s="178"/>
      <c r="Y36" s="178"/>
      <c r="Z36" s="178"/>
      <c r="AA36" s="178"/>
      <c r="AB36" s="178"/>
      <c r="AC36" s="178"/>
      <c r="AD36" s="178"/>
      <c r="AE36" s="178"/>
      <c r="AF36" s="178"/>
      <c r="AG36" s="178"/>
      <c r="AH36" s="178"/>
      <c r="AI36" s="178"/>
      <c r="AJ36" s="178"/>
      <c r="AK36" s="178"/>
      <c r="AL36" s="179"/>
      <c r="AM36" s="189"/>
      <c r="AN36" s="178"/>
      <c r="AO36" s="178"/>
      <c r="AP36" s="178"/>
      <c r="AQ36" s="178"/>
      <c r="AR36" s="178"/>
      <c r="AS36" s="178"/>
      <c r="AT36" s="178"/>
      <c r="AU36" s="178"/>
      <c r="AV36" s="178"/>
      <c r="AW36" s="178"/>
      <c r="AX36" s="178"/>
      <c r="AY36" s="178"/>
      <c r="AZ36" s="178"/>
      <c r="BA36" s="178"/>
      <c r="BB36" s="178"/>
      <c r="BC36" s="178"/>
      <c r="BD36" s="178"/>
      <c r="BE36" s="179"/>
      <c r="BF36" s="189"/>
      <c r="BG36" s="178"/>
      <c r="BH36" s="178"/>
      <c r="BI36" s="178"/>
      <c r="BJ36" s="178"/>
      <c r="BK36" s="178"/>
      <c r="BL36" s="178"/>
      <c r="BM36" s="178"/>
      <c r="BN36" s="178"/>
      <c r="BO36" s="178"/>
      <c r="BP36" s="178"/>
      <c r="BQ36" s="178"/>
      <c r="BR36" s="178"/>
      <c r="BS36" s="178"/>
      <c r="BT36" s="178"/>
      <c r="BU36" s="178"/>
      <c r="BV36" s="178"/>
      <c r="BW36" s="178"/>
      <c r="BX36" s="179"/>
    </row>
    <row r="37" spans="1:76">
      <c r="A37" s="189"/>
      <c r="B37" s="178"/>
      <c r="C37" s="178"/>
      <c r="D37" s="178"/>
      <c r="E37" s="178"/>
      <c r="F37" s="178"/>
      <c r="G37" s="178"/>
      <c r="H37" s="178"/>
      <c r="I37" s="178"/>
      <c r="J37" s="178"/>
      <c r="K37" s="178"/>
      <c r="L37" s="178"/>
      <c r="M37" s="178"/>
      <c r="N37" s="178"/>
      <c r="O37" s="178"/>
      <c r="P37" s="178"/>
      <c r="Q37" s="178"/>
      <c r="R37" s="178"/>
      <c r="S37" s="179"/>
      <c r="T37" s="189"/>
      <c r="U37" s="178"/>
      <c r="V37" s="178"/>
      <c r="W37" s="178"/>
      <c r="X37" s="178"/>
      <c r="Y37" s="178"/>
      <c r="Z37" s="178"/>
      <c r="AA37" s="178"/>
      <c r="AB37" s="178"/>
      <c r="AC37" s="178"/>
      <c r="AD37" s="178"/>
      <c r="AE37" s="178"/>
      <c r="AF37" s="178"/>
      <c r="AG37" s="178"/>
      <c r="AH37" s="178"/>
      <c r="AI37" s="178"/>
      <c r="AJ37" s="178"/>
      <c r="AK37" s="178"/>
      <c r="AL37" s="179"/>
      <c r="AM37" s="189"/>
      <c r="AN37" s="178"/>
      <c r="AO37" s="178"/>
      <c r="AP37" s="178"/>
      <c r="AQ37" s="178"/>
      <c r="AR37" s="178"/>
      <c r="AS37" s="178"/>
      <c r="AT37" s="178"/>
      <c r="AU37" s="178"/>
      <c r="AV37" s="178"/>
      <c r="AW37" s="178"/>
      <c r="AX37" s="178"/>
      <c r="AY37" s="178"/>
      <c r="AZ37" s="178"/>
      <c r="BA37" s="178"/>
      <c r="BB37" s="178"/>
      <c r="BC37" s="178"/>
      <c r="BD37" s="178"/>
      <c r="BE37" s="179"/>
      <c r="BF37" s="189"/>
      <c r="BG37" s="178"/>
      <c r="BH37" s="178"/>
      <c r="BI37" s="178"/>
      <c r="BJ37" s="178"/>
      <c r="BK37" s="178"/>
      <c r="BL37" s="178"/>
      <c r="BM37" s="178"/>
      <c r="BN37" s="178"/>
      <c r="BO37" s="178"/>
      <c r="BP37" s="178"/>
      <c r="BQ37" s="178"/>
      <c r="BR37" s="178"/>
      <c r="BS37" s="178"/>
      <c r="BT37" s="178"/>
      <c r="BU37" s="178"/>
      <c r="BV37" s="178"/>
      <c r="BW37" s="178"/>
      <c r="BX37" s="179"/>
    </row>
    <row r="38" spans="1:76">
      <c r="A38" s="189"/>
      <c r="B38" s="178"/>
      <c r="C38" s="178"/>
      <c r="D38" s="178"/>
      <c r="E38" s="178"/>
      <c r="F38" s="178"/>
      <c r="G38" s="178"/>
      <c r="H38" s="178"/>
      <c r="I38" s="178"/>
      <c r="J38" s="178"/>
      <c r="K38" s="178"/>
      <c r="L38" s="178"/>
      <c r="M38" s="178"/>
      <c r="N38" s="178"/>
      <c r="O38" s="178"/>
      <c r="P38" s="178"/>
      <c r="Q38" s="178"/>
      <c r="R38" s="178"/>
      <c r="S38" s="179"/>
      <c r="T38" s="189"/>
      <c r="U38" s="178"/>
      <c r="V38" s="178"/>
      <c r="W38" s="178"/>
      <c r="X38" s="178"/>
      <c r="Y38" s="178"/>
      <c r="Z38" s="178"/>
      <c r="AA38" s="178"/>
      <c r="AB38" s="178"/>
      <c r="AC38" s="178"/>
      <c r="AD38" s="178"/>
      <c r="AE38" s="178"/>
      <c r="AF38" s="178"/>
      <c r="AG38" s="178"/>
      <c r="AH38" s="178"/>
      <c r="AI38" s="178"/>
      <c r="AJ38" s="178"/>
      <c r="AK38" s="178"/>
      <c r="AL38" s="179"/>
      <c r="AM38" s="189"/>
      <c r="AN38" s="178"/>
      <c r="AO38" s="178"/>
      <c r="AP38" s="178"/>
      <c r="AQ38" s="178"/>
      <c r="AR38" s="178"/>
      <c r="AS38" s="178"/>
      <c r="AT38" s="178"/>
      <c r="AU38" s="178"/>
      <c r="AV38" s="178"/>
      <c r="AW38" s="178"/>
      <c r="AX38" s="178"/>
      <c r="AY38" s="178"/>
      <c r="AZ38" s="178"/>
      <c r="BA38" s="178"/>
      <c r="BB38" s="178"/>
      <c r="BC38" s="178"/>
      <c r="BD38" s="178"/>
      <c r="BE38" s="179"/>
      <c r="BF38" s="189"/>
      <c r="BG38" s="178"/>
      <c r="BH38" s="178"/>
      <c r="BI38" s="178"/>
      <c r="BJ38" s="178"/>
      <c r="BK38" s="178"/>
      <c r="BL38" s="178"/>
      <c r="BM38" s="178"/>
      <c r="BN38" s="178"/>
      <c r="BO38" s="178"/>
      <c r="BP38" s="178"/>
      <c r="BQ38" s="178"/>
      <c r="BR38" s="178"/>
      <c r="BS38" s="178"/>
      <c r="BT38" s="178"/>
      <c r="BU38" s="178"/>
      <c r="BV38" s="178"/>
      <c r="BW38" s="178"/>
      <c r="BX38" s="179"/>
    </row>
    <row r="39" spans="1:76">
      <c r="A39" s="189"/>
      <c r="B39" s="178"/>
      <c r="C39" s="178"/>
      <c r="D39" s="178"/>
      <c r="E39" s="178"/>
      <c r="F39" s="178"/>
      <c r="G39" s="178"/>
      <c r="H39" s="178"/>
      <c r="I39" s="178"/>
      <c r="J39" s="178"/>
      <c r="K39" s="178"/>
      <c r="L39" s="178"/>
      <c r="M39" s="178"/>
      <c r="N39" s="178"/>
      <c r="O39" s="178"/>
      <c r="P39" s="178"/>
      <c r="Q39" s="178"/>
      <c r="R39" s="178"/>
      <c r="S39" s="179"/>
      <c r="T39" s="189"/>
      <c r="U39" s="178"/>
      <c r="V39" s="178"/>
      <c r="W39" s="178"/>
      <c r="X39" s="178"/>
      <c r="Y39" s="178"/>
      <c r="Z39" s="178"/>
      <c r="AA39" s="178"/>
      <c r="AB39" s="178"/>
      <c r="AC39" s="178"/>
      <c r="AD39" s="178"/>
      <c r="AE39" s="178"/>
      <c r="AF39" s="178"/>
      <c r="AG39" s="178"/>
      <c r="AH39" s="178"/>
      <c r="AI39" s="178"/>
      <c r="AJ39" s="178"/>
      <c r="AK39" s="178"/>
      <c r="AL39" s="179"/>
      <c r="AM39" s="189"/>
      <c r="AN39" s="178"/>
      <c r="AO39" s="178"/>
      <c r="AP39" s="178"/>
      <c r="AQ39" s="178"/>
      <c r="AR39" s="178"/>
      <c r="AS39" s="178"/>
      <c r="AT39" s="178"/>
      <c r="AU39" s="178"/>
      <c r="AV39" s="178"/>
      <c r="AW39" s="178"/>
      <c r="AX39" s="178"/>
      <c r="AY39" s="178"/>
      <c r="AZ39" s="178"/>
      <c r="BA39" s="178"/>
      <c r="BB39" s="178"/>
      <c r="BC39" s="178"/>
      <c r="BD39" s="178"/>
      <c r="BE39" s="179"/>
      <c r="BF39" s="189"/>
      <c r="BG39" s="178"/>
      <c r="BH39" s="178"/>
      <c r="BI39" s="178"/>
      <c r="BJ39" s="178"/>
      <c r="BK39" s="178"/>
      <c r="BL39" s="178"/>
      <c r="BM39" s="178"/>
      <c r="BN39" s="178"/>
      <c r="BO39" s="178"/>
      <c r="BP39" s="178"/>
      <c r="BQ39" s="178"/>
      <c r="BR39" s="178"/>
      <c r="BS39" s="178"/>
      <c r="BT39" s="178"/>
      <c r="BU39" s="178"/>
      <c r="BV39" s="178"/>
      <c r="BW39" s="178"/>
      <c r="BX39" s="179"/>
    </row>
    <row r="40" spans="1:76">
      <c r="A40" s="189"/>
      <c r="B40" s="178"/>
      <c r="C40" s="178"/>
      <c r="D40" s="178"/>
      <c r="E40" s="178"/>
      <c r="F40" s="178"/>
      <c r="G40" s="178"/>
      <c r="H40" s="178"/>
      <c r="I40" s="178"/>
      <c r="J40" s="178"/>
      <c r="K40" s="178"/>
      <c r="L40" s="178"/>
      <c r="M40" s="178"/>
      <c r="N40" s="178"/>
      <c r="O40" s="178"/>
      <c r="P40" s="178"/>
      <c r="Q40" s="178"/>
      <c r="R40" s="178"/>
      <c r="S40" s="179"/>
      <c r="T40" s="189"/>
      <c r="U40" s="178"/>
      <c r="V40" s="178"/>
      <c r="W40" s="178"/>
      <c r="X40" s="178"/>
      <c r="Y40" s="178"/>
      <c r="Z40" s="178"/>
      <c r="AA40" s="178"/>
      <c r="AB40" s="178"/>
      <c r="AC40" s="178"/>
      <c r="AD40" s="178"/>
      <c r="AE40" s="178"/>
      <c r="AF40" s="178"/>
      <c r="AG40" s="178"/>
      <c r="AH40" s="178"/>
      <c r="AI40" s="178"/>
      <c r="AJ40" s="178"/>
      <c r="AK40" s="178"/>
      <c r="AL40" s="179"/>
      <c r="AM40" s="189"/>
      <c r="AN40" s="178"/>
      <c r="AO40" s="178"/>
      <c r="AP40" s="178"/>
      <c r="AQ40" s="178"/>
      <c r="AR40" s="178"/>
      <c r="AS40" s="178"/>
      <c r="AT40" s="178"/>
      <c r="AU40" s="178"/>
      <c r="AV40" s="178"/>
      <c r="AW40" s="178"/>
      <c r="AX40" s="178"/>
      <c r="AY40" s="178"/>
      <c r="AZ40" s="178"/>
      <c r="BA40" s="178"/>
      <c r="BB40" s="178"/>
      <c r="BC40" s="178"/>
      <c r="BD40" s="178"/>
      <c r="BE40" s="179"/>
      <c r="BF40" s="189"/>
      <c r="BG40" s="178"/>
      <c r="BH40" s="178"/>
      <c r="BI40" s="178"/>
      <c r="BJ40" s="178"/>
      <c r="BK40" s="178"/>
      <c r="BL40" s="178"/>
      <c r="BM40" s="178"/>
      <c r="BN40" s="178"/>
      <c r="BO40" s="178"/>
      <c r="BP40" s="178"/>
      <c r="BQ40" s="178"/>
      <c r="BR40" s="178"/>
      <c r="BS40" s="178"/>
      <c r="BT40" s="178"/>
      <c r="BU40" s="178"/>
      <c r="BV40" s="178"/>
      <c r="BW40" s="178"/>
      <c r="BX40" s="179"/>
    </row>
    <row r="41" spans="1:76">
      <c r="A41" s="189"/>
      <c r="B41" s="178"/>
      <c r="C41" s="178"/>
      <c r="D41" s="178"/>
      <c r="E41" s="178"/>
      <c r="F41" s="178"/>
      <c r="G41" s="178"/>
      <c r="H41" s="178"/>
      <c r="I41" s="178"/>
      <c r="J41" s="178"/>
      <c r="K41" s="178"/>
      <c r="L41" s="178"/>
      <c r="M41" s="178"/>
      <c r="N41" s="178"/>
      <c r="O41" s="178"/>
      <c r="P41" s="178"/>
      <c r="Q41" s="178"/>
      <c r="R41" s="178"/>
      <c r="S41" s="179"/>
      <c r="T41" s="189"/>
      <c r="U41" s="178"/>
      <c r="V41" s="178"/>
      <c r="W41" s="178"/>
      <c r="X41" s="178"/>
      <c r="Y41" s="178"/>
      <c r="Z41" s="178"/>
      <c r="AA41" s="178"/>
      <c r="AB41" s="178"/>
      <c r="AC41" s="178"/>
      <c r="AD41" s="178"/>
      <c r="AE41" s="178"/>
      <c r="AF41" s="178"/>
      <c r="AG41" s="178"/>
      <c r="AH41" s="178"/>
      <c r="AI41" s="178"/>
      <c r="AJ41" s="178"/>
      <c r="AK41" s="178"/>
      <c r="AL41" s="179"/>
      <c r="AM41" s="189"/>
      <c r="AN41" s="178"/>
      <c r="AO41" s="178"/>
      <c r="AP41" s="178"/>
      <c r="AQ41" s="178"/>
      <c r="AR41" s="178"/>
      <c r="AS41" s="178"/>
      <c r="AT41" s="178"/>
      <c r="AU41" s="178"/>
      <c r="AV41" s="178"/>
      <c r="AW41" s="178"/>
      <c r="AX41" s="178"/>
      <c r="AY41" s="178"/>
      <c r="AZ41" s="178"/>
      <c r="BA41" s="178"/>
      <c r="BB41" s="178"/>
      <c r="BC41" s="178"/>
      <c r="BD41" s="178"/>
      <c r="BE41" s="179"/>
      <c r="BF41" s="189"/>
      <c r="BG41" s="178"/>
      <c r="BH41" s="178"/>
      <c r="BI41" s="178"/>
      <c r="BJ41" s="178"/>
      <c r="BK41" s="178"/>
      <c r="BL41" s="178"/>
      <c r="BM41" s="178"/>
      <c r="BN41" s="178"/>
      <c r="BO41" s="178"/>
      <c r="BP41" s="178"/>
      <c r="BQ41" s="178"/>
      <c r="BR41" s="178"/>
      <c r="BS41" s="178"/>
      <c r="BT41" s="178"/>
      <c r="BU41" s="178"/>
      <c r="BV41" s="178"/>
      <c r="BW41" s="178"/>
      <c r="BX41" s="179"/>
    </row>
    <row r="42" spans="1:76">
      <c r="A42" s="189"/>
      <c r="B42" s="178"/>
      <c r="C42" s="178"/>
      <c r="D42" s="178"/>
      <c r="E42" s="178"/>
      <c r="F42" s="178"/>
      <c r="G42" s="178"/>
      <c r="H42" s="178"/>
      <c r="I42" s="178"/>
      <c r="J42" s="178"/>
      <c r="K42" s="178"/>
      <c r="L42" s="178"/>
      <c r="M42" s="178"/>
      <c r="N42" s="178"/>
      <c r="O42" s="178"/>
      <c r="P42" s="178"/>
      <c r="Q42" s="178"/>
      <c r="R42" s="178"/>
      <c r="S42" s="179"/>
      <c r="T42" s="189"/>
      <c r="U42" s="178"/>
      <c r="V42" s="178"/>
      <c r="W42" s="178"/>
      <c r="X42" s="178"/>
      <c r="Y42" s="178"/>
      <c r="Z42" s="178"/>
      <c r="AA42" s="178"/>
      <c r="AB42" s="178"/>
      <c r="AC42" s="178"/>
      <c r="AD42" s="178"/>
      <c r="AE42" s="178"/>
      <c r="AF42" s="178"/>
      <c r="AG42" s="178"/>
      <c r="AH42" s="178"/>
      <c r="AI42" s="178"/>
      <c r="AJ42" s="178"/>
      <c r="AK42" s="178"/>
      <c r="AL42" s="179"/>
      <c r="AM42" s="189"/>
      <c r="AN42" s="178"/>
      <c r="AO42" s="178"/>
      <c r="AP42" s="178"/>
      <c r="AQ42" s="178"/>
      <c r="AR42" s="178"/>
      <c r="AS42" s="178"/>
      <c r="AT42" s="178"/>
      <c r="AU42" s="178"/>
      <c r="AV42" s="178"/>
      <c r="AW42" s="178"/>
      <c r="AX42" s="178"/>
      <c r="AY42" s="178"/>
      <c r="AZ42" s="178"/>
      <c r="BA42" s="178"/>
      <c r="BB42" s="178"/>
      <c r="BC42" s="178"/>
      <c r="BD42" s="178"/>
      <c r="BE42" s="179"/>
      <c r="BF42" s="189"/>
      <c r="BG42" s="178"/>
      <c r="BH42" s="178"/>
      <c r="BI42" s="178"/>
      <c r="BJ42" s="178"/>
      <c r="BK42" s="178"/>
      <c r="BL42" s="178"/>
      <c r="BM42" s="178"/>
      <c r="BN42" s="178"/>
      <c r="BO42" s="178"/>
      <c r="BP42" s="178"/>
      <c r="BQ42" s="178"/>
      <c r="BR42" s="178"/>
      <c r="BS42" s="178"/>
      <c r="BT42" s="178"/>
      <c r="BU42" s="178"/>
      <c r="BV42" s="178"/>
      <c r="BW42" s="178"/>
      <c r="BX42" s="179"/>
    </row>
    <row r="43" spans="1:76">
      <c r="A43" s="189"/>
      <c r="B43" s="178"/>
      <c r="C43" s="178"/>
      <c r="D43" s="178"/>
      <c r="E43" s="178"/>
      <c r="F43" s="178"/>
      <c r="G43" s="178"/>
      <c r="H43" s="178"/>
      <c r="I43" s="178"/>
      <c r="J43" s="178"/>
      <c r="K43" s="178"/>
      <c r="L43" s="178"/>
      <c r="M43" s="178"/>
      <c r="N43" s="178"/>
      <c r="O43" s="178"/>
      <c r="P43" s="178"/>
      <c r="Q43" s="178"/>
      <c r="R43" s="178"/>
      <c r="S43" s="179"/>
      <c r="T43" s="189"/>
      <c r="U43" s="178"/>
      <c r="V43" s="178"/>
      <c r="W43" s="178"/>
      <c r="X43" s="178"/>
      <c r="Y43" s="178"/>
      <c r="Z43" s="178"/>
      <c r="AA43" s="178"/>
      <c r="AB43" s="178"/>
      <c r="AC43" s="178"/>
      <c r="AD43" s="178"/>
      <c r="AE43" s="178"/>
      <c r="AF43" s="178"/>
      <c r="AG43" s="178"/>
      <c r="AH43" s="178"/>
      <c r="AI43" s="178"/>
      <c r="AJ43" s="178"/>
      <c r="AK43" s="178"/>
      <c r="AL43" s="179"/>
      <c r="AM43" s="189"/>
      <c r="AN43" s="178"/>
      <c r="AO43" s="178"/>
      <c r="AP43" s="178"/>
      <c r="AQ43" s="178"/>
      <c r="AR43" s="178"/>
      <c r="AS43" s="178"/>
      <c r="AT43" s="178"/>
      <c r="AU43" s="178"/>
      <c r="AV43" s="178"/>
      <c r="AW43" s="178"/>
      <c r="AX43" s="178"/>
      <c r="AY43" s="178"/>
      <c r="AZ43" s="178"/>
      <c r="BA43" s="178"/>
      <c r="BB43" s="178"/>
      <c r="BC43" s="178"/>
      <c r="BD43" s="178"/>
      <c r="BE43" s="179"/>
      <c r="BF43" s="189"/>
      <c r="BG43" s="178"/>
      <c r="BH43" s="178"/>
      <c r="BI43" s="178"/>
      <c r="BJ43" s="178"/>
      <c r="BK43" s="178"/>
      <c r="BL43" s="178"/>
      <c r="BM43" s="178"/>
      <c r="BN43" s="178"/>
      <c r="BO43" s="178"/>
      <c r="BP43" s="178"/>
      <c r="BQ43" s="178"/>
      <c r="BR43" s="178"/>
      <c r="BS43" s="178"/>
      <c r="BT43" s="178"/>
      <c r="BU43" s="178"/>
      <c r="BV43" s="178"/>
      <c r="BW43" s="178"/>
      <c r="BX43" s="179"/>
    </row>
    <row r="44" spans="1:76">
      <c r="A44" s="190"/>
      <c r="B44" s="183"/>
      <c r="C44" s="183"/>
      <c r="D44" s="183"/>
      <c r="E44" s="183"/>
      <c r="F44" s="183"/>
      <c r="G44" s="183"/>
      <c r="H44" s="183"/>
      <c r="I44" s="183"/>
      <c r="J44" s="183"/>
      <c r="K44" s="183"/>
      <c r="L44" s="183"/>
      <c r="M44" s="183"/>
      <c r="N44" s="183"/>
      <c r="O44" s="183"/>
      <c r="P44" s="183"/>
      <c r="Q44" s="183"/>
      <c r="R44" s="183"/>
      <c r="S44" s="185"/>
      <c r="T44" s="190"/>
      <c r="U44" s="183"/>
      <c r="V44" s="183"/>
      <c r="W44" s="183"/>
      <c r="X44" s="183"/>
      <c r="Y44" s="183"/>
      <c r="Z44" s="183"/>
      <c r="AA44" s="183"/>
      <c r="AB44" s="183"/>
      <c r="AC44" s="183"/>
      <c r="AD44" s="183"/>
      <c r="AE44" s="183"/>
      <c r="AF44" s="183"/>
      <c r="AG44" s="183"/>
      <c r="AH44" s="183"/>
      <c r="AI44" s="183"/>
      <c r="AJ44" s="183"/>
      <c r="AK44" s="183"/>
      <c r="AL44" s="185"/>
      <c r="AM44" s="190"/>
      <c r="AN44" s="183"/>
      <c r="AO44" s="183"/>
      <c r="AP44" s="183"/>
      <c r="AQ44" s="183"/>
      <c r="AR44" s="183"/>
      <c r="AS44" s="183"/>
      <c r="AT44" s="183"/>
      <c r="AU44" s="183"/>
      <c r="AV44" s="183"/>
      <c r="AW44" s="183"/>
      <c r="AX44" s="183"/>
      <c r="AY44" s="183"/>
      <c r="AZ44" s="183"/>
      <c r="BA44" s="183"/>
      <c r="BB44" s="183"/>
      <c r="BC44" s="183"/>
      <c r="BD44" s="183"/>
      <c r="BE44" s="185"/>
      <c r="BF44" s="190"/>
      <c r="BG44" s="183"/>
      <c r="BH44" s="183"/>
      <c r="BI44" s="183"/>
      <c r="BJ44" s="183"/>
      <c r="BK44" s="183"/>
      <c r="BL44" s="183"/>
      <c r="BM44" s="183"/>
      <c r="BN44" s="183"/>
      <c r="BO44" s="183"/>
      <c r="BP44" s="183"/>
      <c r="BQ44" s="183"/>
      <c r="BR44" s="183"/>
      <c r="BS44" s="183"/>
      <c r="BT44" s="183"/>
      <c r="BU44" s="183"/>
      <c r="BV44" s="183"/>
      <c r="BW44" s="183"/>
      <c r="BX44" s="185"/>
    </row>
    <row r="45" spans="1:76">
      <c r="A45" s="191" t="s">
        <v>666</v>
      </c>
      <c r="B45" s="186"/>
      <c r="C45" s="186"/>
      <c r="D45" s="186"/>
      <c r="E45" s="186"/>
      <c r="F45" s="186"/>
      <c r="G45" s="186"/>
      <c r="H45" s="186"/>
      <c r="I45" s="186"/>
      <c r="J45" s="186"/>
      <c r="K45" s="186"/>
      <c r="L45" s="186"/>
      <c r="M45" s="186"/>
      <c r="N45" s="186"/>
      <c r="O45" s="186"/>
      <c r="P45" s="186"/>
      <c r="Q45" s="186"/>
      <c r="R45" s="186"/>
      <c r="S45" s="187"/>
      <c r="T45" s="191" t="s">
        <v>666</v>
      </c>
      <c r="U45" s="186"/>
      <c r="V45" s="186"/>
      <c r="W45" s="186"/>
      <c r="X45" s="186"/>
      <c r="Y45" s="186"/>
      <c r="Z45" s="186"/>
      <c r="AA45" s="186"/>
      <c r="AB45" s="186"/>
      <c r="AC45" s="186"/>
      <c r="AD45" s="186"/>
      <c r="AE45" s="186"/>
      <c r="AF45" s="186"/>
      <c r="AG45" s="186"/>
      <c r="AH45" s="186"/>
      <c r="AI45" s="186"/>
      <c r="AJ45" s="186"/>
      <c r="AK45" s="186"/>
      <c r="AL45" s="187"/>
      <c r="AM45" s="191" t="s">
        <v>666</v>
      </c>
      <c r="AN45" s="186"/>
      <c r="AO45" s="186"/>
      <c r="AP45" s="186"/>
      <c r="AQ45" s="186"/>
      <c r="AR45" s="186"/>
      <c r="AS45" s="186"/>
      <c r="AT45" s="186"/>
      <c r="AU45" s="186"/>
      <c r="AV45" s="186"/>
      <c r="AW45" s="186"/>
      <c r="AX45" s="186"/>
      <c r="AY45" s="186"/>
      <c r="AZ45" s="186"/>
      <c r="BA45" s="186"/>
      <c r="BB45" s="186"/>
      <c r="BC45" s="186"/>
      <c r="BD45" s="186"/>
      <c r="BE45" s="187"/>
      <c r="BF45" s="191" t="s">
        <v>666</v>
      </c>
      <c r="BG45" s="186"/>
      <c r="BH45" s="186"/>
      <c r="BI45" s="186"/>
      <c r="BJ45" s="186"/>
      <c r="BK45" s="186"/>
      <c r="BL45" s="186"/>
      <c r="BM45" s="186"/>
      <c r="BN45" s="186"/>
      <c r="BO45" s="186"/>
      <c r="BP45" s="186"/>
      <c r="BQ45" s="186"/>
      <c r="BR45" s="186"/>
      <c r="BS45" s="186"/>
      <c r="BT45" s="186"/>
      <c r="BU45" s="186"/>
      <c r="BV45" s="186"/>
      <c r="BW45" s="186"/>
      <c r="BX45" s="187"/>
    </row>
    <row r="46" spans="1:76">
      <c r="A46" s="188"/>
      <c r="B46" s="186"/>
      <c r="C46" s="186"/>
      <c r="D46" s="186"/>
      <c r="E46" s="186"/>
      <c r="F46" s="186"/>
      <c r="G46" s="186"/>
      <c r="H46" s="186"/>
      <c r="I46" s="186"/>
      <c r="J46" s="186"/>
      <c r="K46" s="186"/>
      <c r="L46" s="186"/>
      <c r="M46" s="186"/>
      <c r="N46" s="186"/>
      <c r="O46" s="186"/>
      <c r="P46" s="186"/>
      <c r="Q46" s="186"/>
      <c r="R46" s="186"/>
      <c r="S46" s="187"/>
      <c r="T46" s="188"/>
      <c r="U46" s="186"/>
      <c r="V46" s="186"/>
      <c r="W46" s="186"/>
      <c r="X46" s="186"/>
      <c r="Y46" s="186"/>
      <c r="Z46" s="186"/>
      <c r="AA46" s="186"/>
      <c r="AB46" s="186"/>
      <c r="AC46" s="186"/>
      <c r="AD46" s="186"/>
      <c r="AE46" s="186"/>
      <c r="AF46" s="186"/>
      <c r="AG46" s="186"/>
      <c r="AH46" s="186"/>
      <c r="AI46" s="186"/>
      <c r="AJ46" s="186"/>
      <c r="AK46" s="186"/>
      <c r="AL46" s="187"/>
      <c r="AM46" s="188"/>
      <c r="AN46" s="186"/>
      <c r="AO46" s="186"/>
      <c r="AP46" s="186"/>
      <c r="AQ46" s="186"/>
      <c r="AR46" s="186"/>
      <c r="AS46" s="186"/>
      <c r="AT46" s="186"/>
      <c r="AU46" s="186"/>
      <c r="AV46" s="186"/>
      <c r="AW46" s="186"/>
      <c r="AX46" s="186"/>
      <c r="AY46" s="186"/>
      <c r="AZ46" s="186"/>
      <c r="BA46" s="186"/>
      <c r="BB46" s="186"/>
      <c r="BC46" s="186"/>
      <c r="BD46" s="186"/>
      <c r="BE46" s="187"/>
      <c r="BF46" s="188"/>
      <c r="BG46" s="186"/>
      <c r="BH46" s="186"/>
      <c r="BI46" s="186"/>
      <c r="BJ46" s="186"/>
      <c r="BK46" s="186"/>
      <c r="BL46" s="186"/>
      <c r="BM46" s="186"/>
      <c r="BN46" s="186"/>
      <c r="BO46" s="186"/>
      <c r="BP46" s="186"/>
      <c r="BQ46" s="186"/>
      <c r="BR46" s="186"/>
      <c r="BS46" s="186"/>
      <c r="BT46" s="186"/>
      <c r="BU46" s="186"/>
      <c r="BV46" s="186"/>
      <c r="BW46" s="186"/>
      <c r="BX46" s="187"/>
    </row>
    <row r="47" spans="1:76">
      <c r="A47" s="191" t="s">
        <v>681</v>
      </c>
      <c r="B47" s="192"/>
      <c r="C47" s="192"/>
      <c r="D47" s="192"/>
      <c r="E47" s="192"/>
      <c r="F47" s="192"/>
      <c r="G47" s="192"/>
      <c r="H47" s="192"/>
      <c r="I47" s="192"/>
      <c r="J47" s="192"/>
      <c r="K47" s="192"/>
      <c r="L47" s="192"/>
      <c r="M47" s="192"/>
      <c r="N47" s="192"/>
      <c r="O47" s="192"/>
      <c r="P47" s="192"/>
      <c r="Q47" s="192"/>
      <c r="R47" s="192"/>
      <c r="S47" s="193"/>
      <c r="T47" s="191" t="s">
        <v>681</v>
      </c>
      <c r="U47" s="192"/>
      <c r="V47" s="192"/>
      <c r="W47" s="192"/>
      <c r="X47" s="192"/>
      <c r="Y47" s="192"/>
      <c r="Z47" s="192"/>
      <c r="AA47" s="192"/>
      <c r="AB47" s="192"/>
      <c r="AC47" s="192"/>
      <c r="AD47" s="192"/>
      <c r="AE47" s="192"/>
      <c r="AF47" s="192"/>
      <c r="AG47" s="192"/>
      <c r="AH47" s="192"/>
      <c r="AI47" s="192"/>
      <c r="AJ47" s="192"/>
      <c r="AK47" s="192"/>
      <c r="AL47" s="193"/>
      <c r="AM47" s="191" t="s">
        <v>681</v>
      </c>
      <c r="AN47" s="192"/>
      <c r="AO47" s="192"/>
      <c r="AP47" s="192"/>
      <c r="AQ47" s="192"/>
      <c r="AR47" s="192"/>
      <c r="AS47" s="192"/>
      <c r="AT47" s="192"/>
      <c r="AU47" s="192"/>
      <c r="AV47" s="192"/>
      <c r="AW47" s="192"/>
      <c r="AX47" s="192"/>
      <c r="AY47" s="192"/>
      <c r="AZ47" s="192"/>
      <c r="BA47" s="192"/>
      <c r="BB47" s="192"/>
      <c r="BC47" s="192"/>
      <c r="BD47" s="192"/>
      <c r="BE47" s="193"/>
      <c r="BF47" s="191" t="s">
        <v>681</v>
      </c>
      <c r="BG47" s="192"/>
      <c r="BH47" s="192"/>
      <c r="BI47" s="192"/>
      <c r="BJ47" s="192"/>
      <c r="BK47" s="192"/>
      <c r="BL47" s="192"/>
      <c r="BM47" s="192"/>
      <c r="BN47" s="192"/>
      <c r="BO47" s="192"/>
      <c r="BP47" s="192"/>
      <c r="BQ47" s="192"/>
      <c r="BR47" s="192"/>
      <c r="BS47" s="192"/>
      <c r="BT47" s="192"/>
      <c r="BU47" s="192"/>
      <c r="BV47" s="192"/>
      <c r="BW47" s="192"/>
      <c r="BX47" s="193"/>
    </row>
    <row r="48" spans="1:76" ht="12.75" customHeight="1">
      <c r="A48" s="1238" t="s">
        <v>682</v>
      </c>
      <c r="B48" s="1239"/>
      <c r="C48" s="1240"/>
      <c r="D48" s="1241">
        <v>0</v>
      </c>
      <c r="E48" s="1242"/>
      <c r="F48" s="996" t="s">
        <v>683</v>
      </c>
      <c r="H48" s="194"/>
      <c r="I48" s="192"/>
      <c r="J48" s="192"/>
      <c r="K48" s="192"/>
      <c r="L48" s="192"/>
      <c r="M48" s="192"/>
      <c r="N48" s="192"/>
      <c r="O48" s="192"/>
      <c r="P48" s="192"/>
      <c r="Q48" s="192"/>
      <c r="R48" s="192"/>
      <c r="S48" s="193"/>
      <c r="T48" s="1238" t="s">
        <v>682</v>
      </c>
      <c r="U48" s="1239"/>
      <c r="V48" s="1240"/>
      <c r="W48" s="1241">
        <v>0</v>
      </c>
      <c r="X48" s="1242"/>
      <c r="Y48" s="996" t="s">
        <v>683</v>
      </c>
      <c r="AA48" s="194"/>
      <c r="AB48" s="192"/>
      <c r="AC48" s="192"/>
      <c r="AD48" s="192"/>
      <c r="AE48" s="192"/>
      <c r="AF48" s="192"/>
      <c r="AG48" s="192"/>
      <c r="AH48" s="192"/>
      <c r="AI48" s="192"/>
      <c r="AJ48" s="192"/>
      <c r="AK48" s="192"/>
      <c r="AL48" s="193"/>
      <c r="AM48" s="1238" t="s">
        <v>682</v>
      </c>
      <c r="AN48" s="1239"/>
      <c r="AO48" s="1240"/>
      <c r="AP48" s="1523">
        <v>0</v>
      </c>
      <c r="AQ48" s="1524"/>
      <c r="AR48" s="996" t="s">
        <v>683</v>
      </c>
      <c r="AT48" s="194"/>
      <c r="AU48" s="192"/>
      <c r="AV48" s="192"/>
      <c r="AW48" s="192"/>
      <c r="AX48" s="192"/>
      <c r="AY48" s="192"/>
      <c r="AZ48" s="192"/>
      <c r="BA48" s="192"/>
      <c r="BB48" s="192"/>
      <c r="BC48" s="192"/>
      <c r="BD48" s="192"/>
      <c r="BE48" s="193"/>
      <c r="BF48" s="1238" t="s">
        <v>682</v>
      </c>
      <c r="BG48" s="1239"/>
      <c r="BH48" s="1240"/>
      <c r="BI48" s="1523">
        <v>0</v>
      </c>
      <c r="BJ48" s="1524"/>
      <c r="BK48" s="996" t="s">
        <v>683</v>
      </c>
      <c r="BM48" s="194"/>
      <c r="BN48" s="192"/>
      <c r="BO48" s="192"/>
      <c r="BP48" s="192"/>
      <c r="BQ48" s="192"/>
      <c r="BR48" s="192"/>
      <c r="BS48" s="192"/>
      <c r="BT48" s="192"/>
      <c r="BU48" s="192"/>
      <c r="BV48" s="192"/>
      <c r="BW48" s="192"/>
      <c r="BX48" s="193"/>
    </row>
    <row r="49" spans="1:76" ht="12.75" customHeight="1">
      <c r="A49" s="1187" t="s">
        <v>315</v>
      </c>
      <c r="B49" s="1186"/>
      <c r="C49" s="1186"/>
      <c r="D49" s="1182">
        <v>0</v>
      </c>
      <c r="E49" s="1183"/>
      <c r="F49"/>
      <c r="G49"/>
      <c r="H49" s="8"/>
      <c r="I49" s="192"/>
      <c r="J49" s="192"/>
      <c r="K49" s="192"/>
      <c r="L49" s="192"/>
      <c r="M49" s="192"/>
      <c r="N49" s="192"/>
      <c r="O49" s="192"/>
      <c r="P49" s="192"/>
      <c r="Q49" s="192"/>
      <c r="R49" s="192"/>
      <c r="S49" s="193"/>
      <c r="T49" s="1187" t="s">
        <v>315</v>
      </c>
      <c r="U49" s="1186"/>
      <c r="V49" s="1186"/>
      <c r="W49" s="1182">
        <v>0</v>
      </c>
      <c r="X49" s="1183"/>
      <c r="Y49"/>
      <c r="Z49"/>
      <c r="AA49" s="8"/>
      <c r="AB49" s="192"/>
      <c r="AC49" s="192"/>
      <c r="AD49" s="192"/>
      <c r="AE49" s="192"/>
      <c r="AF49" s="192"/>
      <c r="AG49" s="192"/>
      <c r="AH49" s="192"/>
      <c r="AI49" s="192"/>
      <c r="AJ49" s="192"/>
      <c r="AK49" s="192"/>
      <c r="AL49" s="193"/>
      <c r="AM49" s="1187" t="s">
        <v>315</v>
      </c>
      <c r="AN49" s="1186"/>
      <c r="AO49" s="1186"/>
      <c r="AP49" s="1521">
        <v>0</v>
      </c>
      <c r="AQ49" s="1522"/>
      <c r="AR49"/>
      <c r="AS49"/>
      <c r="AT49" s="8"/>
      <c r="AU49" s="192"/>
      <c r="AV49" s="192"/>
      <c r="AW49" s="192"/>
      <c r="AX49" s="192"/>
      <c r="AY49" s="192"/>
      <c r="AZ49" s="192"/>
      <c r="BA49" s="192"/>
      <c r="BB49" s="192"/>
      <c r="BC49" s="192"/>
      <c r="BD49" s="192"/>
      <c r="BE49" s="193"/>
      <c r="BF49" s="1187" t="s">
        <v>315</v>
      </c>
      <c r="BG49" s="1186"/>
      <c r="BH49" s="1186"/>
      <c r="BI49" s="1521">
        <v>0</v>
      </c>
      <c r="BJ49" s="1522"/>
      <c r="BK49"/>
      <c r="BL49"/>
      <c r="BM49" s="8"/>
      <c r="BN49" s="192"/>
      <c r="BO49" s="192"/>
      <c r="BP49" s="192"/>
      <c r="BQ49" s="192"/>
      <c r="BR49" s="192"/>
      <c r="BS49" s="192"/>
      <c r="BT49" s="192"/>
      <c r="BU49" s="192"/>
      <c r="BV49" s="192"/>
      <c r="BW49" s="192"/>
      <c r="BX49" s="193"/>
    </row>
    <row r="50" spans="1:76">
      <c r="A50" s="195"/>
      <c r="B50" s="192"/>
      <c r="C50" s="192"/>
      <c r="D50" s="192"/>
      <c r="E50" s="192"/>
      <c r="F50" s="192"/>
      <c r="G50" s="192"/>
      <c r="H50" s="192"/>
      <c r="I50" s="192"/>
      <c r="J50" s="192"/>
      <c r="K50" s="192"/>
      <c r="L50" s="192"/>
      <c r="M50" s="192"/>
      <c r="N50" s="192"/>
      <c r="O50" s="192"/>
      <c r="P50" s="192"/>
      <c r="Q50" s="192"/>
      <c r="R50" s="192"/>
      <c r="S50" s="193"/>
      <c r="T50" s="195"/>
      <c r="U50" s="192"/>
      <c r="V50" s="192"/>
      <c r="W50" s="192"/>
      <c r="X50" s="192"/>
      <c r="Y50" s="192"/>
      <c r="Z50" s="192"/>
      <c r="AA50" s="192"/>
      <c r="AB50" s="192"/>
      <c r="AC50" s="192"/>
      <c r="AD50" s="192"/>
      <c r="AE50" s="192"/>
      <c r="AF50" s="192"/>
      <c r="AG50" s="192"/>
      <c r="AH50" s="192"/>
      <c r="AI50" s="192"/>
      <c r="AJ50" s="192"/>
      <c r="AK50" s="192"/>
      <c r="AL50" s="193"/>
      <c r="AM50" s="195"/>
      <c r="AN50" s="192"/>
      <c r="AO50" s="192"/>
      <c r="AP50" s="192"/>
      <c r="AQ50" s="192"/>
      <c r="AR50" s="192"/>
      <c r="AS50" s="192"/>
      <c r="AT50" s="192"/>
      <c r="AU50" s="192"/>
      <c r="AV50" s="192"/>
      <c r="AW50" s="192"/>
      <c r="AX50" s="192"/>
      <c r="AY50" s="192"/>
      <c r="AZ50" s="192"/>
      <c r="BA50" s="192"/>
      <c r="BB50" s="192"/>
      <c r="BC50" s="192"/>
      <c r="BD50" s="192"/>
      <c r="BE50" s="193"/>
      <c r="BF50" s="195"/>
      <c r="BG50" s="192"/>
      <c r="BH50" s="192"/>
      <c r="BI50" s="192"/>
      <c r="BJ50" s="192"/>
      <c r="BK50" s="192"/>
      <c r="BL50" s="192"/>
      <c r="BM50" s="192"/>
      <c r="BN50" s="192"/>
      <c r="BO50" s="192"/>
      <c r="BP50" s="192"/>
      <c r="BQ50" s="192"/>
      <c r="BR50" s="192"/>
      <c r="BS50" s="192"/>
      <c r="BT50" s="192"/>
      <c r="BU50" s="192"/>
      <c r="BV50" s="192"/>
      <c r="BW50" s="192"/>
      <c r="BX50" s="193"/>
    </row>
    <row r="51" spans="1:76">
      <c r="A51" s="196" t="s">
        <v>316</v>
      </c>
      <c r="B51" s="192"/>
      <c r="C51" s="192"/>
      <c r="D51" s="192"/>
      <c r="E51" s="192"/>
      <c r="F51" s="192"/>
      <c r="G51" s="192"/>
      <c r="H51" s="192"/>
      <c r="I51" s="192"/>
      <c r="J51" s="192"/>
      <c r="K51" s="192"/>
      <c r="L51" s="192"/>
      <c r="M51" s="192"/>
      <c r="N51" s="192"/>
      <c r="O51" s="192"/>
      <c r="P51" s="192"/>
      <c r="Q51" s="192"/>
      <c r="R51" s="192"/>
      <c r="S51" s="193"/>
      <c r="T51" s="196" t="s">
        <v>316</v>
      </c>
      <c r="U51" s="192"/>
      <c r="V51" s="192"/>
      <c r="W51" s="192"/>
      <c r="X51" s="192"/>
      <c r="Y51" s="192"/>
      <c r="Z51" s="192"/>
      <c r="AA51" s="192"/>
      <c r="AB51" s="192"/>
      <c r="AC51" s="192"/>
      <c r="AD51" s="192"/>
      <c r="AE51" s="192"/>
      <c r="AF51" s="192"/>
      <c r="AG51" s="192"/>
      <c r="AH51" s="192"/>
      <c r="AI51" s="192"/>
      <c r="AJ51" s="192"/>
      <c r="AK51" s="192"/>
      <c r="AL51" s="193"/>
      <c r="AM51" s="196" t="s">
        <v>316</v>
      </c>
      <c r="AN51" s="192"/>
      <c r="AO51" s="192"/>
      <c r="AP51" s="192"/>
      <c r="AQ51" s="192"/>
      <c r="AR51" s="192"/>
      <c r="AS51" s="192"/>
      <c r="AT51" s="192"/>
      <c r="AU51" s="192"/>
      <c r="AV51" s="192"/>
      <c r="AW51" s="192"/>
      <c r="AX51" s="192"/>
      <c r="AY51" s="192"/>
      <c r="AZ51" s="192"/>
      <c r="BA51" s="192"/>
      <c r="BB51" s="192"/>
      <c r="BC51" s="192"/>
      <c r="BD51" s="192"/>
      <c r="BE51" s="193"/>
      <c r="BF51" s="196" t="s">
        <v>316</v>
      </c>
      <c r="BG51" s="192"/>
      <c r="BH51" s="192"/>
      <c r="BI51" s="192"/>
      <c r="BJ51" s="192"/>
      <c r="BK51" s="192"/>
      <c r="BL51" s="192"/>
      <c r="BM51" s="192"/>
      <c r="BN51" s="192"/>
      <c r="BO51" s="192"/>
      <c r="BP51" s="192"/>
      <c r="BQ51" s="192"/>
      <c r="BR51" s="192"/>
      <c r="BS51" s="192"/>
      <c r="BT51" s="192"/>
      <c r="BU51" s="192"/>
      <c r="BV51" s="192"/>
      <c r="BW51" s="192"/>
      <c r="BX51" s="193"/>
    </row>
    <row r="52" spans="1:76" ht="15.75" customHeight="1">
      <c r="B52" s="1243" t="s">
        <v>317</v>
      </c>
      <c r="C52" s="1244"/>
      <c r="D52" s="1525">
        <v>0</v>
      </c>
      <c r="E52" s="1526"/>
      <c r="F52" s="194"/>
      <c r="G52" s="194"/>
      <c r="H52" s="194"/>
      <c r="I52" s="194"/>
      <c r="J52" s="194"/>
      <c r="K52" s="194"/>
      <c r="L52" s="194"/>
      <c r="M52" s="194"/>
      <c r="N52" s="194"/>
      <c r="O52" s="192"/>
      <c r="P52" s="192"/>
      <c r="Q52" s="192"/>
      <c r="R52" s="192"/>
      <c r="S52" s="193"/>
      <c r="U52" s="1243" t="s">
        <v>317</v>
      </c>
      <c r="V52" s="1244"/>
      <c r="W52" s="1525">
        <v>0</v>
      </c>
      <c r="X52" s="1526"/>
      <c r="Y52" s="194"/>
      <c r="Z52" s="194"/>
      <c r="AA52" s="194"/>
      <c r="AB52" s="194"/>
      <c r="AC52" s="194"/>
      <c r="AD52" s="194"/>
      <c r="AE52" s="194"/>
      <c r="AF52" s="194"/>
      <c r="AG52" s="194"/>
      <c r="AH52" s="192"/>
      <c r="AI52" s="192"/>
      <c r="AJ52" s="192"/>
      <c r="AK52" s="192"/>
      <c r="AL52" s="193"/>
      <c r="AN52" s="1243" t="s">
        <v>317</v>
      </c>
      <c r="AO52" s="1244"/>
      <c r="AP52" s="1525">
        <v>0</v>
      </c>
      <c r="AQ52" s="1526"/>
      <c r="AR52" s="194"/>
      <c r="AS52" s="194"/>
      <c r="AT52" s="194"/>
      <c r="AU52" s="194"/>
      <c r="AV52" s="194"/>
      <c r="AW52" s="194"/>
      <c r="AX52" s="194"/>
      <c r="AY52" s="194"/>
      <c r="AZ52" s="194"/>
      <c r="BA52" s="192"/>
      <c r="BB52" s="192"/>
      <c r="BC52" s="192"/>
      <c r="BD52" s="192"/>
      <c r="BE52" s="193"/>
      <c r="BG52" s="1243" t="s">
        <v>317</v>
      </c>
      <c r="BH52" s="1244"/>
      <c r="BI52" s="1525">
        <v>0</v>
      </c>
      <c r="BJ52" s="1526"/>
      <c r="BK52" s="194"/>
      <c r="BL52" s="194"/>
      <c r="BM52" s="194"/>
      <c r="BN52" s="194"/>
      <c r="BO52" s="194"/>
      <c r="BP52" s="194"/>
      <c r="BQ52" s="194"/>
      <c r="BR52" s="194"/>
      <c r="BS52" s="194"/>
      <c r="BT52" s="192"/>
      <c r="BU52" s="192"/>
      <c r="BV52" s="192"/>
      <c r="BW52" s="192"/>
      <c r="BX52" s="193"/>
    </row>
    <row r="53" spans="1:76" ht="15.75" customHeight="1">
      <c r="A53" s="198"/>
      <c r="B53" s="197"/>
      <c r="C53" s="199"/>
      <c r="D53" s="200"/>
      <c r="E53" s="194"/>
      <c r="F53" s="194"/>
      <c r="G53" s="194"/>
      <c r="H53" s="194"/>
      <c r="I53" s="194"/>
      <c r="J53" s="194"/>
      <c r="K53" s="194"/>
      <c r="L53" s="194"/>
      <c r="M53" s="194"/>
      <c r="N53" s="194"/>
      <c r="O53" s="192"/>
      <c r="P53" s="192"/>
      <c r="Q53" s="192"/>
      <c r="R53" s="192"/>
      <c r="S53" s="193"/>
      <c r="T53" s="198"/>
      <c r="U53" s="197"/>
      <c r="V53" s="199"/>
      <c r="W53" s="200"/>
      <c r="X53" s="194"/>
      <c r="Y53" s="194"/>
      <c r="Z53" s="194"/>
      <c r="AA53" s="194"/>
      <c r="AB53" s="194"/>
      <c r="AC53" s="194"/>
      <c r="AD53" s="194"/>
      <c r="AE53" s="194"/>
      <c r="AF53" s="194"/>
      <c r="AG53" s="194"/>
      <c r="AH53" s="192"/>
      <c r="AI53" s="192"/>
      <c r="AJ53" s="192"/>
      <c r="AK53" s="192"/>
      <c r="AL53" s="193"/>
      <c r="AM53" s="198"/>
      <c r="AN53" s="197"/>
      <c r="AO53" s="199"/>
      <c r="AP53" s="200"/>
      <c r="AQ53" s="194"/>
      <c r="AR53" s="194"/>
      <c r="AS53" s="194"/>
      <c r="AT53" s="194"/>
      <c r="AU53" s="194"/>
      <c r="AV53" s="194"/>
      <c r="AW53" s="194"/>
      <c r="AX53" s="194"/>
      <c r="AY53" s="194"/>
      <c r="AZ53" s="194"/>
      <c r="BA53" s="192"/>
      <c r="BB53" s="192"/>
      <c r="BC53" s="192"/>
      <c r="BD53" s="192"/>
      <c r="BE53" s="193"/>
      <c r="BF53" s="198"/>
      <c r="BG53" s="197"/>
      <c r="BH53" s="199"/>
      <c r="BI53" s="200"/>
      <c r="BJ53" s="194"/>
      <c r="BK53" s="194"/>
      <c r="BL53" s="194"/>
      <c r="BM53" s="194"/>
      <c r="BN53" s="194"/>
      <c r="BO53" s="194"/>
      <c r="BP53" s="194"/>
      <c r="BQ53" s="194"/>
      <c r="BR53" s="194"/>
      <c r="BS53" s="194"/>
      <c r="BT53" s="192"/>
      <c r="BU53" s="192"/>
      <c r="BV53" s="192"/>
      <c r="BW53" s="192"/>
      <c r="BX53" s="193"/>
    </row>
    <row r="54" spans="1:76" ht="15.75" customHeight="1">
      <c r="A54" s="1232" t="s">
        <v>318</v>
      </c>
      <c r="B54" s="1233"/>
      <c r="C54" s="1234"/>
      <c r="D54" s="1235">
        <f>IF(D52&gt;0,D48/(PI()*25*D52),0)</f>
        <v>0</v>
      </c>
      <c r="E54" s="1236"/>
      <c r="F54" s="194"/>
      <c r="G54" s="194"/>
      <c r="H54" s="194"/>
      <c r="I54" s="194"/>
      <c r="J54" s="194"/>
      <c r="K54" s="194"/>
      <c r="L54" s="194"/>
      <c r="M54" s="685" t="s">
        <v>304</v>
      </c>
      <c r="N54" s="194"/>
      <c r="O54" s="194"/>
      <c r="P54" s="192"/>
      <c r="Q54" s="192"/>
      <c r="R54" s="192"/>
      <c r="S54" s="193"/>
      <c r="T54" s="1232" t="s">
        <v>318</v>
      </c>
      <c r="U54" s="1233"/>
      <c r="V54" s="1234"/>
      <c r="W54" s="1235">
        <f>IF(W52&gt;0,W48/(PI()*25*W52),0)</f>
        <v>0</v>
      </c>
      <c r="X54" s="1236"/>
      <c r="Y54" s="194"/>
      <c r="Z54" s="194"/>
      <c r="AA54" s="194"/>
      <c r="AB54" s="194"/>
      <c r="AC54" s="194"/>
      <c r="AD54" s="194"/>
      <c r="AE54" s="194"/>
      <c r="AF54" s="194"/>
      <c r="AG54" s="194"/>
      <c r="AH54" s="194"/>
      <c r="AI54" s="192"/>
      <c r="AJ54" s="192"/>
      <c r="AK54" s="192"/>
      <c r="AL54" s="193"/>
      <c r="AM54" s="1232" t="s">
        <v>318</v>
      </c>
      <c r="AN54" s="1233"/>
      <c r="AO54" s="1234"/>
      <c r="AP54" s="1235">
        <f>IF(AP52&gt;0,AP48/(PI()*25*AP52),0)</f>
        <v>0</v>
      </c>
      <c r="AQ54" s="1236"/>
      <c r="AR54" s="194"/>
      <c r="AS54" s="194"/>
      <c r="AT54" s="194"/>
      <c r="AU54" s="194"/>
      <c r="AV54" s="194"/>
      <c r="AW54" s="194"/>
      <c r="AX54" s="194"/>
      <c r="AY54" s="194"/>
      <c r="AZ54" s="194"/>
      <c r="BA54" s="194"/>
      <c r="BB54" s="192"/>
      <c r="BC54" s="192"/>
      <c r="BD54" s="192"/>
      <c r="BE54" s="193"/>
      <c r="BF54" s="1232" t="s">
        <v>318</v>
      </c>
      <c r="BG54" s="1233"/>
      <c r="BH54" s="1234"/>
      <c r="BI54" s="1235">
        <f>IF(BI52&gt;0,BI48/(PI()*25*BI52),0)</f>
        <v>0</v>
      </c>
      <c r="BJ54" s="1236"/>
      <c r="BK54" s="194"/>
      <c r="BL54" s="194"/>
      <c r="BM54" s="194"/>
      <c r="BN54" s="194"/>
      <c r="BO54" s="194"/>
      <c r="BP54" s="194"/>
      <c r="BQ54" s="194"/>
      <c r="BR54" s="194"/>
      <c r="BS54" s="194"/>
      <c r="BT54" s="194"/>
      <c r="BU54" s="192"/>
      <c r="BV54" s="192"/>
      <c r="BW54" s="192"/>
      <c r="BX54" s="193"/>
    </row>
    <row r="55" spans="1:76">
      <c r="A55" s="201"/>
      <c r="B55" s="202"/>
      <c r="C55" s="202"/>
      <c r="D55" s="202"/>
      <c r="E55" s="202"/>
      <c r="F55" s="202"/>
      <c r="G55" s="202"/>
      <c r="H55" s="202"/>
      <c r="I55" s="202"/>
      <c r="J55" s="202"/>
      <c r="K55" s="202"/>
      <c r="L55" s="202"/>
      <c r="M55" s="202"/>
      <c r="N55" s="202"/>
      <c r="O55" s="202"/>
      <c r="P55" s="202"/>
      <c r="Q55" s="202"/>
      <c r="R55" s="202"/>
      <c r="S55" s="203"/>
      <c r="T55" s="201"/>
      <c r="U55" s="202"/>
      <c r="V55" s="202"/>
      <c r="W55" s="202"/>
      <c r="X55" s="202"/>
      <c r="Y55" s="202"/>
      <c r="Z55" s="202"/>
      <c r="AA55" s="202"/>
      <c r="AB55" s="202"/>
      <c r="AC55" s="202"/>
      <c r="AD55" s="202"/>
      <c r="AE55" s="202"/>
      <c r="AF55" s="202"/>
      <c r="AG55" s="202"/>
      <c r="AH55" s="202"/>
      <c r="AI55" s="202"/>
      <c r="AJ55" s="202"/>
      <c r="AK55" s="202"/>
      <c r="AL55" s="203"/>
      <c r="AM55" s="201"/>
      <c r="AN55" s="202"/>
      <c r="AO55" s="202"/>
      <c r="AP55" s="202"/>
      <c r="AQ55" s="202"/>
      <c r="AR55" s="202"/>
      <c r="AS55" s="202"/>
      <c r="AT55" s="202"/>
      <c r="AU55" s="202"/>
      <c r="AV55" s="202"/>
      <c r="AW55" s="202"/>
      <c r="AX55" s="202"/>
      <c r="AY55" s="202"/>
      <c r="AZ55" s="202"/>
      <c r="BA55" s="202"/>
      <c r="BB55" s="202"/>
      <c r="BC55" s="202"/>
      <c r="BD55" s="202"/>
      <c r="BE55" s="203"/>
      <c r="BF55" s="201"/>
      <c r="BG55" s="202"/>
      <c r="BH55" s="202"/>
      <c r="BI55" s="202"/>
      <c r="BJ55" s="202"/>
      <c r="BK55" s="202"/>
      <c r="BL55" s="202"/>
      <c r="BM55" s="202"/>
      <c r="BN55" s="202"/>
      <c r="BO55" s="202"/>
      <c r="BP55" s="202"/>
      <c r="BQ55" s="202"/>
      <c r="BR55" s="202"/>
      <c r="BS55" s="202"/>
      <c r="BT55" s="202"/>
      <c r="BU55" s="202"/>
      <c r="BV55" s="202"/>
      <c r="BW55" s="202"/>
      <c r="BX55" s="203"/>
    </row>
    <row r="56" spans="1:76">
      <c r="A56" s="539" t="s">
        <v>275</v>
      </c>
      <c r="B56"/>
      <c r="C56"/>
      <c r="D56"/>
      <c r="E56"/>
      <c r="F56"/>
      <c r="G56"/>
      <c r="H56"/>
      <c r="I56"/>
      <c r="J56"/>
      <c r="K56"/>
      <c r="L56"/>
      <c r="M56"/>
      <c r="N56"/>
      <c r="O56"/>
      <c r="P56"/>
      <c r="Q56"/>
      <c r="R56"/>
      <c r="S56" s="15"/>
      <c r="T56" s="539" t="s">
        <v>275</v>
      </c>
      <c r="U56"/>
      <c r="V56"/>
      <c r="W56"/>
      <c r="X56"/>
      <c r="Y56"/>
      <c r="Z56"/>
      <c r="AA56"/>
      <c r="AB56"/>
      <c r="AC56"/>
      <c r="AD56"/>
      <c r="AE56"/>
      <c r="AF56"/>
      <c r="AG56"/>
      <c r="AH56"/>
      <c r="AI56"/>
      <c r="AJ56"/>
      <c r="AK56"/>
      <c r="AL56" s="15"/>
      <c r="AM56" s="539" t="s">
        <v>275</v>
      </c>
      <c r="AN56"/>
      <c r="AO56"/>
      <c r="AP56"/>
      <c r="AQ56"/>
      <c r="AR56"/>
      <c r="AS56"/>
      <c r="AT56"/>
      <c r="AU56"/>
      <c r="AV56"/>
      <c r="AW56"/>
      <c r="AX56"/>
      <c r="AY56"/>
      <c r="AZ56"/>
      <c r="BA56"/>
      <c r="BB56"/>
      <c r="BC56"/>
      <c r="BD56"/>
      <c r="BE56" s="15"/>
      <c r="BF56" s="539" t="s">
        <v>275</v>
      </c>
      <c r="BG56"/>
      <c r="BH56"/>
      <c r="BI56"/>
      <c r="BJ56"/>
      <c r="BK56"/>
      <c r="BL56"/>
      <c r="BM56"/>
      <c r="BN56"/>
      <c r="BO56"/>
      <c r="BP56"/>
      <c r="BQ56"/>
      <c r="BR56"/>
      <c r="BS56"/>
      <c r="BT56"/>
      <c r="BU56"/>
      <c r="BV56"/>
      <c r="BW56"/>
      <c r="BX56" s="15"/>
    </row>
    <row r="57" spans="1:76">
      <c r="A57" s="8" t="s">
        <v>276</v>
      </c>
      <c r="B57"/>
      <c r="C57"/>
      <c r="D57"/>
      <c r="E57"/>
      <c r="F57"/>
      <c r="G57"/>
      <c r="H57"/>
      <c r="I57"/>
      <c r="J57"/>
      <c r="K57"/>
      <c r="L57"/>
      <c r="M57"/>
      <c r="N57"/>
      <c r="O57"/>
      <c r="P57"/>
      <c r="Q57"/>
      <c r="R57"/>
      <c r="S57" s="15"/>
      <c r="T57" s="8" t="s">
        <v>276</v>
      </c>
      <c r="U57"/>
      <c r="V57"/>
      <c r="W57"/>
      <c r="X57"/>
      <c r="Y57"/>
      <c r="Z57"/>
      <c r="AA57"/>
      <c r="AB57"/>
      <c r="AC57"/>
      <c r="AD57"/>
      <c r="AE57"/>
      <c r="AF57"/>
      <c r="AG57"/>
      <c r="AH57"/>
      <c r="AI57"/>
      <c r="AJ57"/>
      <c r="AK57"/>
      <c r="AL57" s="15"/>
      <c r="AM57" s="8" t="s">
        <v>276</v>
      </c>
      <c r="AN57"/>
      <c r="AO57"/>
      <c r="AP57"/>
      <c r="AQ57"/>
      <c r="AR57"/>
      <c r="AS57"/>
      <c r="AT57"/>
      <c r="AU57"/>
      <c r="AV57"/>
      <c r="AW57"/>
      <c r="AX57"/>
      <c r="AY57"/>
      <c r="AZ57"/>
      <c r="BA57"/>
      <c r="BB57"/>
      <c r="BC57"/>
      <c r="BD57"/>
      <c r="BE57" s="15"/>
      <c r="BF57" s="8" t="s">
        <v>276</v>
      </c>
      <c r="BG57"/>
      <c r="BH57"/>
      <c r="BI57"/>
      <c r="BJ57"/>
      <c r="BK57"/>
      <c r="BL57"/>
      <c r="BM57"/>
      <c r="BN57"/>
      <c r="BO57"/>
      <c r="BP57"/>
      <c r="BQ57"/>
      <c r="BR57"/>
      <c r="BS57"/>
      <c r="BT57"/>
      <c r="BU57"/>
      <c r="BV57"/>
      <c r="BW57"/>
      <c r="BX57" s="15"/>
    </row>
    <row r="58" spans="1:76">
      <c r="A58" s="8" t="s">
        <v>277</v>
      </c>
      <c r="B58" s="104"/>
      <c r="C58" s="104"/>
      <c r="D58" s="104"/>
      <c r="E58" s="104"/>
      <c r="F58" s="104"/>
      <c r="G58" s="104"/>
      <c r="H58" s="104"/>
      <c r="I58" s="104"/>
      <c r="J58" s="104"/>
      <c r="K58" s="104"/>
      <c r="L58" s="104"/>
      <c r="M58" s="104"/>
      <c r="N58" s="104"/>
      <c r="O58" s="104"/>
      <c r="P58" s="104"/>
      <c r="Q58" s="104"/>
      <c r="R58" s="104"/>
      <c r="S58" s="147"/>
      <c r="T58" s="8" t="s">
        <v>277</v>
      </c>
      <c r="U58" s="104"/>
      <c r="V58" s="104"/>
      <c r="W58" s="104"/>
      <c r="X58" s="104"/>
      <c r="Y58" s="104"/>
      <c r="Z58" s="104"/>
      <c r="AA58" s="104"/>
      <c r="AB58" s="104"/>
      <c r="AC58" s="104"/>
      <c r="AD58" s="104"/>
      <c r="AE58" s="104"/>
      <c r="AF58" s="104"/>
      <c r="AG58" s="104"/>
      <c r="AH58" s="104"/>
      <c r="AI58" s="104"/>
      <c r="AJ58" s="104"/>
      <c r="AK58" s="104"/>
      <c r="AL58" s="147"/>
      <c r="AM58" s="8" t="s">
        <v>277</v>
      </c>
      <c r="AN58" s="104"/>
      <c r="AO58" s="104"/>
      <c r="AP58" s="104"/>
      <c r="AQ58" s="104"/>
      <c r="AR58" s="104"/>
      <c r="AS58" s="104"/>
      <c r="AT58" s="104"/>
      <c r="AU58" s="104"/>
      <c r="AV58" s="104"/>
      <c r="AW58" s="104"/>
      <c r="AX58" s="104"/>
      <c r="AY58" s="104"/>
      <c r="AZ58" s="104"/>
      <c r="BA58" s="104"/>
      <c r="BB58" s="104"/>
      <c r="BC58" s="104"/>
      <c r="BD58" s="104"/>
      <c r="BE58" s="147"/>
      <c r="BF58" s="8" t="s">
        <v>277</v>
      </c>
      <c r="BG58" s="104"/>
      <c r="BH58" s="104"/>
      <c r="BI58" s="104"/>
      <c r="BJ58" s="104"/>
      <c r="BK58" s="104"/>
      <c r="BL58" s="104"/>
      <c r="BM58" s="104"/>
      <c r="BN58" s="104"/>
      <c r="BO58" s="104"/>
      <c r="BP58" s="104"/>
      <c r="BQ58" s="104"/>
      <c r="BR58" s="104"/>
      <c r="BS58" s="104"/>
      <c r="BT58" s="104"/>
      <c r="BU58" s="104"/>
      <c r="BV58" s="104"/>
      <c r="BW58" s="104"/>
      <c r="BX58" s="147"/>
    </row>
    <row r="59" spans="1:76">
      <c r="A59" s="146"/>
      <c r="B59" s="104"/>
      <c r="C59" s="104"/>
      <c r="D59" s="104"/>
      <c r="E59" s="104"/>
      <c r="F59" s="104"/>
      <c r="G59" s="104"/>
      <c r="H59" s="104"/>
      <c r="I59" s="104"/>
      <c r="J59" s="104"/>
      <c r="K59" s="104"/>
      <c r="L59" s="104"/>
      <c r="M59" s="104"/>
      <c r="N59" s="104"/>
      <c r="O59" s="104"/>
      <c r="P59" s="104"/>
      <c r="Q59" s="104"/>
      <c r="R59" s="104"/>
      <c r="S59" s="147"/>
      <c r="T59" s="146"/>
      <c r="U59" s="104"/>
      <c r="V59" s="104"/>
      <c r="W59" s="104"/>
      <c r="X59" s="104"/>
      <c r="Y59" s="104"/>
      <c r="Z59" s="104"/>
      <c r="AA59" s="104"/>
      <c r="AB59" s="104"/>
      <c r="AC59" s="104"/>
      <c r="AD59" s="104"/>
      <c r="AE59" s="104"/>
      <c r="AF59" s="104"/>
      <c r="AG59" s="104"/>
      <c r="AH59" s="104"/>
      <c r="AI59" s="104"/>
      <c r="AJ59" s="104"/>
      <c r="AK59" s="104"/>
      <c r="AL59" s="147"/>
      <c r="AM59" s="146"/>
      <c r="AN59" s="104"/>
      <c r="AO59" s="104"/>
      <c r="AP59" s="104"/>
      <c r="AQ59" s="104"/>
      <c r="AR59" s="104"/>
      <c r="AS59" s="104"/>
      <c r="AT59" s="104"/>
      <c r="AU59" s="104"/>
      <c r="AV59" s="104"/>
      <c r="AW59" s="104"/>
      <c r="AX59" s="104"/>
      <c r="AY59" s="104"/>
      <c r="AZ59" s="104"/>
      <c r="BA59" s="104"/>
      <c r="BB59" s="104"/>
      <c r="BC59" s="104"/>
      <c r="BD59" s="104"/>
      <c r="BE59" s="147"/>
      <c r="BF59" s="146"/>
      <c r="BG59" s="104"/>
      <c r="BH59" s="104"/>
      <c r="BI59" s="104"/>
      <c r="BJ59" s="104"/>
      <c r="BK59" s="104"/>
      <c r="BL59" s="104"/>
      <c r="BM59" s="104"/>
      <c r="BN59" s="104"/>
      <c r="BO59" s="104"/>
      <c r="BP59" s="104"/>
      <c r="BQ59" s="104"/>
      <c r="BR59" s="104"/>
      <c r="BS59" s="104"/>
      <c r="BT59" s="104"/>
      <c r="BU59" s="104"/>
      <c r="BV59" s="104"/>
      <c r="BW59" s="104"/>
      <c r="BX59" s="147"/>
    </row>
    <row r="60" spans="1:76" ht="23.25">
      <c r="A60" s="146"/>
      <c r="B60" s="541"/>
      <c r="C60" s="813" t="s">
        <v>671</v>
      </c>
      <c r="D60" s="746" t="s">
        <v>279</v>
      </c>
      <c r="E60"/>
      <c r="F60" s="104"/>
      <c r="G60" s="104"/>
      <c r="H60" s="1219"/>
      <c r="I60" s="1219"/>
      <c r="J60" s="104"/>
      <c r="K60" s="104"/>
      <c r="L60" s="104"/>
      <c r="M60" s="104"/>
      <c r="N60" s="104"/>
      <c r="O60" s="104"/>
      <c r="P60" s="104"/>
      <c r="Q60" s="104"/>
      <c r="R60" s="104"/>
      <c r="S60" s="147"/>
      <c r="T60" s="146"/>
      <c r="U60" s="541"/>
      <c r="V60" s="813" t="s">
        <v>671</v>
      </c>
      <c r="W60" s="746" t="s">
        <v>279</v>
      </c>
      <c r="X60"/>
      <c r="Y60" s="104"/>
      <c r="Z60" s="104"/>
      <c r="AA60" s="1219"/>
      <c r="AB60" s="1219"/>
      <c r="AC60" s="104"/>
      <c r="AD60" s="104"/>
      <c r="AE60" s="104"/>
      <c r="AF60" s="104"/>
      <c r="AG60" s="104"/>
      <c r="AH60" s="104"/>
      <c r="AI60" s="104"/>
      <c r="AJ60" s="104"/>
      <c r="AK60" s="104"/>
      <c r="AL60" s="147"/>
      <c r="AM60" s="146"/>
      <c r="AN60" s="541"/>
      <c r="AO60" s="813" t="s">
        <v>671</v>
      </c>
      <c r="AP60" s="746" t="s">
        <v>279</v>
      </c>
      <c r="AQ60"/>
      <c r="AR60" s="104"/>
      <c r="AS60" s="104"/>
      <c r="AT60" s="1219"/>
      <c r="AU60" s="1219"/>
      <c r="AV60" s="104"/>
      <c r="AW60" s="104"/>
      <c r="AX60" s="104"/>
      <c r="AY60" s="104"/>
      <c r="AZ60" s="104"/>
      <c r="BA60" s="104"/>
      <c r="BB60" s="104"/>
      <c r="BC60" s="104"/>
      <c r="BD60" s="104"/>
      <c r="BE60" s="147"/>
      <c r="BF60" s="146"/>
      <c r="BG60" s="541"/>
      <c r="BH60" s="813" t="s">
        <v>671</v>
      </c>
      <c r="BI60" s="746" t="s">
        <v>279</v>
      </c>
      <c r="BJ60"/>
      <c r="BK60" s="104"/>
      <c r="BL60" s="104"/>
      <c r="BM60" s="1219"/>
      <c r="BN60" s="1219"/>
      <c r="BO60" s="104"/>
      <c r="BP60" s="104"/>
      <c r="BQ60" s="104"/>
      <c r="BR60" s="104"/>
      <c r="BS60" s="104"/>
      <c r="BT60" s="104"/>
      <c r="BU60" s="104"/>
      <c r="BV60" s="104"/>
      <c r="BW60" s="104"/>
      <c r="BX60" s="147"/>
    </row>
    <row r="61" spans="1:76" ht="14.25">
      <c r="A61" s="146"/>
      <c r="B61" s="542">
        <v>1</v>
      </c>
      <c r="C61" s="734"/>
      <c r="D61" s="673"/>
      <c r="E61"/>
      <c r="F61" s="104"/>
      <c r="G61" s="599"/>
      <c r="H61" s="540"/>
      <c r="I61" s="540"/>
      <c r="J61" s="104"/>
      <c r="K61" s="104"/>
      <c r="L61" s="104"/>
      <c r="M61" s="104"/>
      <c r="N61" s="104"/>
      <c r="O61" s="104"/>
      <c r="P61" s="104"/>
      <c r="Q61" s="104"/>
      <c r="R61" s="104"/>
      <c r="S61" s="147"/>
      <c r="T61" s="146"/>
      <c r="U61" s="542">
        <v>1</v>
      </c>
      <c r="V61" s="734"/>
      <c r="W61" s="673"/>
      <c r="X61"/>
      <c r="Y61" s="104"/>
      <c r="Z61" s="599"/>
      <c r="AA61" s="540"/>
      <c r="AB61" s="540"/>
      <c r="AC61" s="104"/>
      <c r="AD61" s="104"/>
      <c r="AE61" s="104"/>
      <c r="AF61" s="104"/>
      <c r="AG61" s="104"/>
      <c r="AH61" s="104"/>
      <c r="AI61" s="104"/>
      <c r="AJ61" s="104"/>
      <c r="AK61" s="104"/>
      <c r="AL61" s="147"/>
      <c r="AM61" s="146"/>
      <c r="AN61" s="542">
        <v>1</v>
      </c>
      <c r="AO61" s="734"/>
      <c r="AP61" s="673"/>
      <c r="AQ61"/>
      <c r="AR61" s="104"/>
      <c r="AS61" s="599"/>
      <c r="AT61" s="540"/>
      <c r="AU61" s="540"/>
      <c r="AV61" s="104"/>
      <c r="AW61" s="104"/>
      <c r="AX61" s="104"/>
      <c r="AY61" s="104"/>
      <c r="AZ61" s="104"/>
      <c r="BA61" s="104"/>
      <c r="BB61" s="104"/>
      <c r="BC61" s="104"/>
      <c r="BD61" s="104"/>
      <c r="BE61" s="147"/>
      <c r="BF61" s="146"/>
      <c r="BG61" s="542">
        <v>1</v>
      </c>
      <c r="BH61" s="734"/>
      <c r="BI61" s="673"/>
      <c r="BJ61"/>
      <c r="BK61" s="104"/>
      <c r="BL61" s="599"/>
      <c r="BM61" s="540"/>
      <c r="BN61" s="540"/>
      <c r="BO61" s="104"/>
      <c r="BP61" s="104"/>
      <c r="BQ61" s="104"/>
      <c r="BR61" s="104"/>
      <c r="BS61" s="104"/>
      <c r="BT61" s="104"/>
      <c r="BU61" s="104"/>
      <c r="BV61" s="104"/>
      <c r="BW61" s="104"/>
      <c r="BX61" s="147"/>
    </row>
    <row r="62" spans="1:76">
      <c r="A62" s="146"/>
      <c r="B62" s="542">
        <v>2</v>
      </c>
      <c r="C62" s="734"/>
      <c r="D62" s="673"/>
      <c r="E62"/>
      <c r="F62" s="104"/>
      <c r="G62" s="613"/>
      <c r="H62"/>
      <c r="I62"/>
      <c r="J62" s="104"/>
      <c r="K62" s="104"/>
      <c r="L62" s="104"/>
      <c r="M62" s="104"/>
      <c r="N62" s="104"/>
      <c r="O62" s="104"/>
      <c r="P62" s="104"/>
      <c r="Q62" s="104"/>
      <c r="R62" s="104"/>
      <c r="S62" s="147"/>
      <c r="T62" s="146"/>
      <c r="U62" s="542">
        <v>2</v>
      </c>
      <c r="V62" s="734"/>
      <c r="W62" s="673"/>
      <c r="X62"/>
      <c r="Y62" s="104"/>
      <c r="Z62" s="613"/>
      <c r="AA62"/>
      <c r="AB62"/>
      <c r="AC62" s="104"/>
      <c r="AD62" s="104"/>
      <c r="AE62" s="104"/>
      <c r="AF62" s="104"/>
      <c r="AG62" s="104"/>
      <c r="AH62" s="104"/>
      <c r="AI62" s="104"/>
      <c r="AJ62" s="104"/>
      <c r="AK62" s="104"/>
      <c r="AL62" s="147"/>
      <c r="AM62" s="146"/>
      <c r="AN62" s="542">
        <v>2</v>
      </c>
      <c r="AO62" s="734"/>
      <c r="AP62" s="673"/>
      <c r="AQ62"/>
      <c r="AR62" s="104"/>
      <c r="AS62" s="613"/>
      <c r="AT62"/>
      <c r="AU62"/>
      <c r="AV62" s="104"/>
      <c r="AW62" s="104"/>
      <c r="AX62" s="104"/>
      <c r="AY62" s="104"/>
      <c r="AZ62" s="104"/>
      <c r="BA62" s="104"/>
      <c r="BB62" s="104"/>
      <c r="BC62" s="104"/>
      <c r="BD62" s="104"/>
      <c r="BE62" s="147"/>
      <c r="BF62" s="146"/>
      <c r="BG62" s="542">
        <v>2</v>
      </c>
      <c r="BH62" s="734"/>
      <c r="BI62" s="673"/>
      <c r="BJ62"/>
      <c r="BK62" s="104"/>
      <c r="BL62" s="613"/>
      <c r="BM62"/>
      <c r="BN62"/>
      <c r="BO62" s="104"/>
      <c r="BP62" s="104"/>
      <c r="BQ62" s="104"/>
      <c r="BR62" s="104"/>
      <c r="BS62" s="104"/>
      <c r="BT62" s="104"/>
      <c r="BU62" s="104"/>
      <c r="BV62" s="104"/>
      <c r="BW62" s="104"/>
      <c r="BX62" s="147"/>
    </row>
    <row r="63" spans="1:76">
      <c r="A63" s="146"/>
      <c r="B63" s="542">
        <v>3</v>
      </c>
      <c r="C63" s="734"/>
      <c r="D63" s="673"/>
      <c r="E63"/>
      <c r="F63" s="104"/>
      <c r="G63" s="613"/>
      <c r="H63"/>
      <c r="I63"/>
      <c r="J63" s="104"/>
      <c r="K63" s="104"/>
      <c r="L63" s="104"/>
      <c r="M63" s="104"/>
      <c r="N63" s="104"/>
      <c r="O63" s="104"/>
      <c r="P63" s="104"/>
      <c r="Q63" s="104"/>
      <c r="R63" s="104"/>
      <c r="S63" s="147"/>
      <c r="T63" s="146"/>
      <c r="U63" s="542">
        <v>3</v>
      </c>
      <c r="V63" s="734"/>
      <c r="W63" s="673"/>
      <c r="X63"/>
      <c r="Y63" s="104"/>
      <c r="Z63" s="613"/>
      <c r="AA63"/>
      <c r="AB63"/>
      <c r="AC63" s="104"/>
      <c r="AD63" s="104"/>
      <c r="AE63" s="104"/>
      <c r="AF63" s="104"/>
      <c r="AG63" s="104"/>
      <c r="AH63" s="104"/>
      <c r="AI63" s="104"/>
      <c r="AJ63" s="104"/>
      <c r="AK63" s="104"/>
      <c r="AL63" s="147"/>
      <c r="AM63" s="146"/>
      <c r="AN63" s="542">
        <v>3</v>
      </c>
      <c r="AO63" s="734"/>
      <c r="AP63" s="673"/>
      <c r="AQ63"/>
      <c r="AR63" s="104"/>
      <c r="AS63" s="613"/>
      <c r="AT63"/>
      <c r="AU63"/>
      <c r="AV63" s="104"/>
      <c r="AW63" s="104"/>
      <c r="AX63" s="104"/>
      <c r="AY63" s="104"/>
      <c r="AZ63" s="104"/>
      <c r="BA63" s="104"/>
      <c r="BB63" s="104"/>
      <c r="BC63" s="104"/>
      <c r="BD63" s="104"/>
      <c r="BE63" s="147"/>
      <c r="BF63" s="146"/>
      <c r="BG63" s="542">
        <v>3</v>
      </c>
      <c r="BH63" s="734"/>
      <c r="BI63" s="673"/>
      <c r="BJ63"/>
      <c r="BK63" s="104"/>
      <c r="BL63" s="613"/>
      <c r="BM63"/>
      <c r="BN63"/>
      <c r="BO63" s="104"/>
      <c r="BP63" s="104"/>
      <c r="BQ63" s="104"/>
      <c r="BR63" s="104"/>
      <c r="BS63" s="104"/>
      <c r="BT63" s="104"/>
      <c r="BU63" s="104"/>
      <c r="BV63" s="104"/>
      <c r="BW63" s="104"/>
      <c r="BX63" s="147"/>
    </row>
    <row r="64" spans="1:76">
      <c r="A64" s="146"/>
      <c r="B64" s="542">
        <v>4</v>
      </c>
      <c r="C64" s="734"/>
      <c r="D64" s="673"/>
      <c r="E64"/>
      <c r="F64" s="104"/>
      <c r="G64" s="104"/>
      <c r="H64" s="104"/>
      <c r="I64" s="104"/>
      <c r="J64" s="104"/>
      <c r="K64" s="104"/>
      <c r="L64" s="104"/>
      <c r="M64" s="104"/>
      <c r="N64" s="104"/>
      <c r="O64" s="104"/>
      <c r="P64" s="104"/>
      <c r="Q64" s="104"/>
      <c r="R64" s="104"/>
      <c r="S64" s="147"/>
      <c r="T64" s="146"/>
      <c r="U64" s="542">
        <v>4</v>
      </c>
      <c r="V64" s="734"/>
      <c r="W64" s="673"/>
      <c r="X64"/>
      <c r="Y64" s="104"/>
      <c r="Z64" s="104"/>
      <c r="AA64" s="104"/>
      <c r="AB64" s="104"/>
      <c r="AC64" s="104"/>
      <c r="AD64" s="104"/>
      <c r="AE64" s="104"/>
      <c r="AF64" s="104"/>
      <c r="AG64" s="104"/>
      <c r="AH64" s="104"/>
      <c r="AI64" s="104"/>
      <c r="AJ64" s="104"/>
      <c r="AK64" s="104"/>
      <c r="AL64" s="147"/>
      <c r="AM64" s="146"/>
      <c r="AN64" s="542">
        <v>4</v>
      </c>
      <c r="AO64" s="734"/>
      <c r="AP64" s="673"/>
      <c r="AQ64"/>
      <c r="AR64" s="104"/>
      <c r="AS64" s="104"/>
      <c r="AT64" s="104"/>
      <c r="AU64" s="104"/>
      <c r="AV64" s="104"/>
      <c r="AW64" s="104"/>
      <c r="AX64" s="104"/>
      <c r="AY64" s="104"/>
      <c r="AZ64" s="104"/>
      <c r="BA64" s="104"/>
      <c r="BB64" s="104"/>
      <c r="BC64" s="104"/>
      <c r="BD64" s="104"/>
      <c r="BE64" s="147"/>
      <c r="BF64" s="146"/>
      <c r="BG64" s="542">
        <v>4</v>
      </c>
      <c r="BH64" s="734"/>
      <c r="BI64" s="673"/>
      <c r="BJ64"/>
      <c r="BK64" s="104"/>
      <c r="BL64" s="104"/>
      <c r="BM64" s="104"/>
      <c r="BN64" s="104"/>
      <c r="BO64" s="104"/>
      <c r="BP64" s="104"/>
      <c r="BQ64" s="104"/>
      <c r="BR64" s="104"/>
      <c r="BS64" s="104"/>
      <c r="BT64" s="104"/>
      <c r="BU64" s="104"/>
      <c r="BV64" s="104"/>
      <c r="BW64" s="104"/>
      <c r="BX64" s="147"/>
    </row>
    <row r="65" spans="1:76">
      <c r="A65" s="146"/>
      <c r="B65" s="542">
        <v>5</v>
      </c>
      <c r="C65" s="734"/>
      <c r="D65" s="673"/>
      <c r="E65"/>
      <c r="F65" s="104"/>
      <c r="G65" s="104"/>
      <c r="H65" s="104"/>
      <c r="I65" s="104"/>
      <c r="J65" s="104"/>
      <c r="K65" s="104"/>
      <c r="L65" s="104"/>
      <c r="M65" s="104"/>
      <c r="N65" s="104"/>
      <c r="O65" s="104"/>
      <c r="P65" s="104"/>
      <c r="Q65" s="104"/>
      <c r="R65" s="104"/>
      <c r="S65" s="147"/>
      <c r="T65" s="146"/>
      <c r="U65" s="542">
        <v>5</v>
      </c>
      <c r="V65" s="734"/>
      <c r="W65" s="673"/>
      <c r="X65"/>
      <c r="Y65" s="104"/>
      <c r="Z65" s="104"/>
      <c r="AA65" s="104"/>
      <c r="AB65" s="104"/>
      <c r="AC65" s="104"/>
      <c r="AD65" s="104"/>
      <c r="AE65" s="104"/>
      <c r="AF65" s="104"/>
      <c r="AG65" s="104"/>
      <c r="AH65" s="104"/>
      <c r="AI65" s="104"/>
      <c r="AJ65" s="104"/>
      <c r="AK65" s="104"/>
      <c r="AL65" s="147"/>
      <c r="AM65" s="146"/>
      <c r="AN65" s="542">
        <v>5</v>
      </c>
      <c r="AO65" s="734"/>
      <c r="AP65" s="673"/>
      <c r="AQ65"/>
      <c r="AR65" s="104"/>
      <c r="AS65" s="104"/>
      <c r="AT65" s="104"/>
      <c r="AU65" s="104"/>
      <c r="AV65" s="104"/>
      <c r="AW65" s="104"/>
      <c r="AX65" s="104"/>
      <c r="AY65" s="104"/>
      <c r="AZ65" s="104"/>
      <c r="BA65" s="104"/>
      <c r="BB65" s="104"/>
      <c r="BC65" s="104"/>
      <c r="BD65" s="104"/>
      <c r="BE65" s="147"/>
      <c r="BF65" s="146"/>
      <c r="BG65" s="542">
        <v>5</v>
      </c>
      <c r="BH65" s="734"/>
      <c r="BI65" s="673"/>
      <c r="BJ65"/>
      <c r="BK65" s="104"/>
      <c r="BL65" s="104"/>
      <c r="BM65" s="104"/>
      <c r="BN65" s="104"/>
      <c r="BO65" s="104"/>
      <c r="BP65" s="104"/>
      <c r="BQ65" s="104"/>
      <c r="BR65" s="104"/>
      <c r="BS65" s="104"/>
      <c r="BT65" s="104"/>
      <c r="BU65" s="104"/>
      <c r="BV65" s="104"/>
      <c r="BW65" s="104"/>
      <c r="BX65" s="147"/>
    </row>
    <row r="66" spans="1:76">
      <c r="A66" s="146"/>
      <c r="B66" s="542">
        <v>6</v>
      </c>
      <c r="C66" s="734"/>
      <c r="D66" s="673"/>
      <c r="E66"/>
      <c r="F66" s="104"/>
      <c r="G66" s="104"/>
      <c r="H66" s="104"/>
      <c r="I66" s="104"/>
      <c r="J66" s="104"/>
      <c r="K66" s="104"/>
      <c r="L66" s="104"/>
      <c r="M66" s="104"/>
      <c r="N66" s="104"/>
      <c r="O66" s="104"/>
      <c r="P66" s="104"/>
      <c r="Q66" s="104"/>
      <c r="R66" s="104"/>
      <c r="S66" s="147"/>
      <c r="T66" s="146"/>
      <c r="U66" s="542">
        <v>6</v>
      </c>
      <c r="V66" s="734"/>
      <c r="W66" s="673"/>
      <c r="X66"/>
      <c r="Y66" s="104"/>
      <c r="Z66" s="104"/>
      <c r="AA66" s="104"/>
      <c r="AB66" s="104"/>
      <c r="AC66" s="104"/>
      <c r="AD66" s="104"/>
      <c r="AE66" s="104"/>
      <c r="AF66" s="104"/>
      <c r="AG66" s="104"/>
      <c r="AH66" s="104"/>
      <c r="AI66" s="104"/>
      <c r="AJ66" s="104"/>
      <c r="AK66" s="104"/>
      <c r="AL66" s="147"/>
      <c r="AM66" s="146"/>
      <c r="AN66" s="542">
        <v>6</v>
      </c>
      <c r="AO66" s="734"/>
      <c r="AP66" s="673"/>
      <c r="AQ66"/>
      <c r="AR66" s="104"/>
      <c r="AS66" s="104"/>
      <c r="AT66" s="104"/>
      <c r="AU66" s="104"/>
      <c r="AV66" s="104"/>
      <c r="AW66" s="104"/>
      <c r="AX66" s="104"/>
      <c r="AY66" s="104"/>
      <c r="AZ66" s="104"/>
      <c r="BA66" s="104"/>
      <c r="BB66" s="104"/>
      <c r="BC66" s="104"/>
      <c r="BD66" s="104"/>
      <c r="BE66" s="147"/>
      <c r="BF66" s="146"/>
      <c r="BG66" s="542">
        <v>6</v>
      </c>
      <c r="BH66" s="734"/>
      <c r="BI66" s="673"/>
      <c r="BJ66"/>
      <c r="BK66" s="104"/>
      <c r="BL66" s="104"/>
      <c r="BM66" s="104"/>
      <c r="BN66" s="104"/>
      <c r="BO66" s="104"/>
      <c r="BP66" s="104"/>
      <c r="BQ66" s="104"/>
      <c r="BR66" s="104"/>
      <c r="BS66" s="104"/>
      <c r="BT66" s="104"/>
      <c r="BU66" s="104"/>
      <c r="BV66" s="104"/>
      <c r="BW66" s="104"/>
      <c r="BX66" s="147"/>
    </row>
    <row r="67" spans="1:76">
      <c r="A67" s="146"/>
      <c r="B67" s="542">
        <v>7</v>
      </c>
      <c r="C67" s="734"/>
      <c r="D67" s="673"/>
      <c r="E67"/>
      <c r="F67" s="104"/>
      <c r="G67" s="104"/>
      <c r="H67" s="104"/>
      <c r="I67" s="104"/>
      <c r="J67" s="104"/>
      <c r="K67" s="104"/>
      <c r="L67" s="104"/>
      <c r="M67" s="104"/>
      <c r="N67" s="104"/>
      <c r="O67" s="104"/>
      <c r="P67" s="104"/>
      <c r="Q67" s="104"/>
      <c r="R67" s="104"/>
      <c r="S67" s="147"/>
      <c r="T67" s="146"/>
      <c r="U67" s="542">
        <v>7</v>
      </c>
      <c r="V67" s="734"/>
      <c r="W67" s="673"/>
      <c r="X67"/>
      <c r="Y67" s="104"/>
      <c r="Z67" s="104"/>
      <c r="AA67" s="104"/>
      <c r="AB67" s="104"/>
      <c r="AC67" s="104"/>
      <c r="AD67" s="104"/>
      <c r="AE67" s="104"/>
      <c r="AF67" s="104"/>
      <c r="AG67" s="104"/>
      <c r="AH67" s="104"/>
      <c r="AI67" s="104"/>
      <c r="AJ67" s="104"/>
      <c r="AK67" s="104"/>
      <c r="AL67" s="147"/>
      <c r="AM67" s="146"/>
      <c r="AN67" s="542">
        <v>7</v>
      </c>
      <c r="AO67" s="734"/>
      <c r="AP67" s="673"/>
      <c r="AQ67"/>
      <c r="AR67" s="104"/>
      <c r="AS67" s="104"/>
      <c r="AT67" s="104"/>
      <c r="AU67" s="104"/>
      <c r="AV67" s="104"/>
      <c r="AW67" s="104"/>
      <c r="AX67" s="104"/>
      <c r="AY67" s="104"/>
      <c r="AZ67" s="104"/>
      <c r="BA67" s="104"/>
      <c r="BB67" s="104"/>
      <c r="BC67" s="104"/>
      <c r="BD67" s="104"/>
      <c r="BE67" s="147"/>
      <c r="BF67" s="146"/>
      <c r="BG67" s="542">
        <v>7</v>
      </c>
      <c r="BH67" s="734"/>
      <c r="BI67" s="673"/>
      <c r="BJ67"/>
      <c r="BK67" s="104"/>
      <c r="BL67" s="104"/>
      <c r="BM67" s="104"/>
      <c r="BN67" s="104"/>
      <c r="BO67" s="104"/>
      <c r="BP67" s="104"/>
      <c r="BQ67" s="104"/>
      <c r="BR67" s="104"/>
      <c r="BS67" s="104"/>
      <c r="BT67" s="104"/>
      <c r="BU67" s="104"/>
      <c r="BV67" s="104"/>
      <c r="BW67" s="104"/>
      <c r="BX67" s="147"/>
    </row>
    <row r="68" spans="1:76">
      <c r="A68" s="146"/>
      <c r="B68" s="542">
        <v>8</v>
      </c>
      <c r="C68" s="734"/>
      <c r="D68" s="673"/>
      <c r="E68"/>
      <c r="F68" s="104"/>
      <c r="G68" s="104"/>
      <c r="H68" s="104"/>
      <c r="I68" s="104"/>
      <c r="J68" s="104"/>
      <c r="K68" s="104"/>
      <c r="L68" s="104"/>
      <c r="M68" s="104"/>
      <c r="N68" s="104"/>
      <c r="O68" s="104"/>
      <c r="P68" s="104"/>
      <c r="Q68" s="104"/>
      <c r="R68" s="104"/>
      <c r="S68" s="147"/>
      <c r="T68" s="146"/>
      <c r="U68" s="542">
        <v>8</v>
      </c>
      <c r="V68" s="734"/>
      <c r="W68" s="673"/>
      <c r="X68"/>
      <c r="Y68" s="104"/>
      <c r="Z68" s="104"/>
      <c r="AA68" s="104"/>
      <c r="AB68" s="104"/>
      <c r="AC68" s="104"/>
      <c r="AD68" s="104"/>
      <c r="AE68" s="104"/>
      <c r="AF68" s="104"/>
      <c r="AG68" s="104"/>
      <c r="AH68" s="104"/>
      <c r="AI68" s="104"/>
      <c r="AJ68" s="104"/>
      <c r="AK68" s="104"/>
      <c r="AL68" s="147"/>
      <c r="AM68" s="146"/>
      <c r="AN68" s="542">
        <v>8</v>
      </c>
      <c r="AO68" s="734"/>
      <c r="AP68" s="673"/>
      <c r="AQ68"/>
      <c r="AR68" s="104"/>
      <c r="AS68" s="104"/>
      <c r="AT68" s="104"/>
      <c r="AU68" s="104"/>
      <c r="AV68" s="104"/>
      <c r="AW68" s="104"/>
      <c r="AX68" s="104"/>
      <c r="AY68" s="104"/>
      <c r="AZ68" s="104"/>
      <c r="BA68" s="104"/>
      <c r="BB68" s="104"/>
      <c r="BC68" s="104"/>
      <c r="BD68" s="104"/>
      <c r="BE68" s="147"/>
      <c r="BF68" s="146"/>
      <c r="BG68" s="542">
        <v>8</v>
      </c>
      <c r="BH68" s="734"/>
      <c r="BI68" s="673"/>
      <c r="BJ68"/>
      <c r="BK68" s="104"/>
      <c r="BL68" s="104"/>
      <c r="BM68" s="104"/>
      <c r="BN68" s="104"/>
      <c r="BO68" s="104"/>
      <c r="BP68" s="104"/>
      <c r="BQ68" s="104"/>
      <c r="BR68" s="104"/>
      <c r="BS68" s="104"/>
      <c r="BT68" s="104"/>
      <c r="BU68" s="104"/>
      <c r="BV68" s="104"/>
      <c r="BW68" s="104"/>
      <c r="BX68" s="147"/>
    </row>
    <row r="69" spans="1:76">
      <c r="A69" s="146"/>
      <c r="B69" s="542">
        <v>9</v>
      </c>
      <c r="C69" s="734"/>
      <c r="D69" s="673"/>
      <c r="E69"/>
      <c r="F69" s="104"/>
      <c r="G69" s="104"/>
      <c r="H69" s="104"/>
      <c r="I69" s="104"/>
      <c r="J69" s="104"/>
      <c r="K69" s="104"/>
      <c r="L69" s="104"/>
      <c r="M69" s="104"/>
      <c r="N69" s="104"/>
      <c r="O69" s="104"/>
      <c r="P69" s="104"/>
      <c r="Q69" s="104"/>
      <c r="R69" s="104"/>
      <c r="S69" s="147"/>
      <c r="T69" s="146"/>
      <c r="U69" s="542">
        <v>9</v>
      </c>
      <c r="V69" s="734"/>
      <c r="W69" s="673"/>
      <c r="X69"/>
      <c r="Y69" s="104"/>
      <c r="Z69" s="104"/>
      <c r="AA69" s="104"/>
      <c r="AB69" s="104"/>
      <c r="AC69" s="104"/>
      <c r="AD69" s="104"/>
      <c r="AE69" s="104"/>
      <c r="AF69" s="104"/>
      <c r="AG69" s="104"/>
      <c r="AH69" s="104"/>
      <c r="AI69" s="104"/>
      <c r="AJ69" s="104"/>
      <c r="AK69" s="104"/>
      <c r="AL69" s="147"/>
      <c r="AM69" s="146"/>
      <c r="AN69" s="542">
        <v>9</v>
      </c>
      <c r="AO69" s="734"/>
      <c r="AP69" s="673"/>
      <c r="AQ69"/>
      <c r="AR69" s="104"/>
      <c r="AS69" s="104"/>
      <c r="AT69" s="104"/>
      <c r="AU69" s="104"/>
      <c r="AV69" s="104"/>
      <c r="AW69" s="104"/>
      <c r="AX69" s="104"/>
      <c r="AY69" s="104"/>
      <c r="AZ69" s="104"/>
      <c r="BA69" s="104"/>
      <c r="BB69" s="104"/>
      <c r="BC69" s="104"/>
      <c r="BD69" s="104"/>
      <c r="BE69" s="147"/>
      <c r="BF69" s="146"/>
      <c r="BG69" s="542">
        <v>9</v>
      </c>
      <c r="BH69" s="734"/>
      <c r="BI69" s="673"/>
      <c r="BJ69"/>
      <c r="BK69" s="104"/>
      <c r="BL69" s="104"/>
      <c r="BM69" s="104"/>
      <c r="BN69" s="104"/>
      <c r="BO69" s="104"/>
      <c r="BP69" s="104"/>
      <c r="BQ69" s="104"/>
      <c r="BR69" s="104"/>
      <c r="BS69" s="104"/>
      <c r="BT69" s="104"/>
      <c r="BU69" s="104"/>
      <c r="BV69" s="104"/>
      <c r="BW69" s="104"/>
      <c r="BX69" s="147"/>
    </row>
    <row r="70" spans="1:76">
      <c r="A70" s="146"/>
      <c r="B70" s="542">
        <v>10</v>
      </c>
      <c r="C70" s="734"/>
      <c r="D70" s="673"/>
      <c r="E70"/>
      <c r="F70" s="104"/>
      <c r="G70" s="104"/>
      <c r="H70" s="104"/>
      <c r="I70" s="104"/>
      <c r="J70" s="104"/>
      <c r="K70" s="104"/>
      <c r="L70" s="104"/>
      <c r="M70" s="104"/>
      <c r="N70" s="104"/>
      <c r="O70" s="104"/>
      <c r="P70" s="104"/>
      <c r="Q70" s="104"/>
      <c r="R70" s="104"/>
      <c r="S70" s="147"/>
      <c r="T70" s="146"/>
      <c r="U70" s="542">
        <v>10</v>
      </c>
      <c r="V70" s="734"/>
      <c r="W70" s="673"/>
      <c r="X70"/>
      <c r="Y70" s="104"/>
      <c r="Z70" s="104"/>
      <c r="AA70" s="104"/>
      <c r="AB70" s="104"/>
      <c r="AC70" s="104"/>
      <c r="AD70" s="104"/>
      <c r="AE70" s="104"/>
      <c r="AF70" s="104"/>
      <c r="AG70" s="104"/>
      <c r="AH70" s="104"/>
      <c r="AI70" s="104"/>
      <c r="AJ70" s="104"/>
      <c r="AK70" s="104"/>
      <c r="AL70" s="147"/>
      <c r="AM70" s="146"/>
      <c r="AN70" s="542">
        <v>10</v>
      </c>
      <c r="AO70" s="734"/>
      <c r="AP70" s="673"/>
      <c r="AQ70"/>
      <c r="AR70" s="104"/>
      <c r="AS70" s="104"/>
      <c r="AT70" s="104"/>
      <c r="AU70" s="104"/>
      <c r="AV70" s="104"/>
      <c r="AW70" s="104"/>
      <c r="AX70" s="104"/>
      <c r="AY70" s="104"/>
      <c r="AZ70" s="104"/>
      <c r="BA70" s="104"/>
      <c r="BB70" s="104"/>
      <c r="BC70" s="104"/>
      <c r="BD70" s="104"/>
      <c r="BE70" s="147"/>
      <c r="BF70" s="146"/>
      <c r="BG70" s="542">
        <v>10</v>
      </c>
      <c r="BH70" s="734"/>
      <c r="BI70" s="673"/>
      <c r="BJ70"/>
      <c r="BK70" s="104"/>
      <c r="BL70" s="104"/>
      <c r="BM70" s="104"/>
      <c r="BN70" s="104"/>
      <c r="BO70" s="104"/>
      <c r="BP70" s="104"/>
      <c r="BQ70" s="104"/>
      <c r="BR70" s="104"/>
      <c r="BS70" s="104"/>
      <c r="BT70" s="104"/>
      <c r="BU70" s="104"/>
      <c r="BV70" s="104"/>
      <c r="BW70" s="104"/>
      <c r="BX70" s="147"/>
    </row>
    <row r="71" spans="1:76">
      <c r="A71" s="146"/>
      <c r="B71" s="542">
        <v>11</v>
      </c>
      <c r="C71" s="734"/>
      <c r="D71" s="673"/>
      <c r="E71"/>
      <c r="F71" s="104"/>
      <c r="G71" s="104"/>
      <c r="H71" s="104"/>
      <c r="I71" s="104"/>
      <c r="J71" s="104"/>
      <c r="K71" s="104"/>
      <c r="L71" s="104"/>
      <c r="M71" s="104"/>
      <c r="N71" s="104"/>
      <c r="O71" s="104"/>
      <c r="P71" s="104"/>
      <c r="Q71" s="104"/>
      <c r="R71" s="104"/>
      <c r="S71" s="147"/>
      <c r="T71" s="146"/>
      <c r="U71" s="542">
        <v>11</v>
      </c>
      <c r="V71" s="734"/>
      <c r="W71" s="673"/>
      <c r="X71"/>
      <c r="Y71" s="104"/>
      <c r="Z71" s="104"/>
      <c r="AA71" s="104"/>
      <c r="AB71" s="104"/>
      <c r="AC71" s="104"/>
      <c r="AD71" s="104"/>
      <c r="AE71" s="104"/>
      <c r="AF71" s="104"/>
      <c r="AG71" s="104"/>
      <c r="AH71" s="104"/>
      <c r="AI71" s="104"/>
      <c r="AJ71" s="104"/>
      <c r="AK71" s="104"/>
      <c r="AL71" s="147"/>
      <c r="AM71" s="146"/>
      <c r="AN71" s="542">
        <v>11</v>
      </c>
      <c r="AO71" s="734"/>
      <c r="AP71" s="673"/>
      <c r="AQ71"/>
      <c r="AR71" s="104"/>
      <c r="AS71" s="104"/>
      <c r="AT71" s="104"/>
      <c r="AU71" s="104"/>
      <c r="AV71" s="104"/>
      <c r="AW71" s="104"/>
      <c r="AX71" s="104"/>
      <c r="AY71" s="104"/>
      <c r="AZ71" s="104"/>
      <c r="BA71" s="104"/>
      <c r="BB71" s="104"/>
      <c r="BC71" s="104"/>
      <c r="BD71" s="104"/>
      <c r="BE71" s="147"/>
      <c r="BF71" s="146"/>
      <c r="BG71" s="542">
        <v>11</v>
      </c>
      <c r="BH71" s="734"/>
      <c r="BI71" s="673"/>
      <c r="BJ71"/>
      <c r="BK71" s="104"/>
      <c r="BL71" s="104"/>
      <c r="BM71" s="104"/>
      <c r="BN71" s="104"/>
      <c r="BO71" s="104"/>
      <c r="BP71" s="104"/>
      <c r="BQ71" s="104"/>
      <c r="BR71" s="104"/>
      <c r="BS71" s="104"/>
      <c r="BT71" s="104"/>
      <c r="BU71" s="104"/>
      <c r="BV71" s="104"/>
      <c r="BW71" s="104"/>
      <c r="BX71" s="147"/>
    </row>
    <row r="72" spans="1:76">
      <c r="A72" s="146"/>
      <c r="B72" s="542">
        <v>12</v>
      </c>
      <c r="C72" s="734"/>
      <c r="D72" s="673"/>
      <c r="E72"/>
      <c r="F72" s="104"/>
      <c r="G72" s="104"/>
      <c r="H72" s="104"/>
      <c r="I72" s="104"/>
      <c r="J72" s="104"/>
      <c r="K72" s="104"/>
      <c r="L72" s="104"/>
      <c r="M72" s="104"/>
      <c r="N72" s="104"/>
      <c r="O72" s="104"/>
      <c r="P72" s="104"/>
      <c r="Q72" s="104"/>
      <c r="R72" s="104"/>
      <c r="S72" s="147"/>
      <c r="T72" s="146"/>
      <c r="U72" s="542">
        <v>12</v>
      </c>
      <c r="V72" s="734"/>
      <c r="W72" s="673"/>
      <c r="X72"/>
      <c r="Y72" s="104"/>
      <c r="Z72" s="104"/>
      <c r="AA72" s="104"/>
      <c r="AB72" s="104"/>
      <c r="AC72" s="104"/>
      <c r="AD72" s="104"/>
      <c r="AE72" s="104"/>
      <c r="AF72" s="104"/>
      <c r="AG72" s="104"/>
      <c r="AH72" s="104"/>
      <c r="AI72" s="104"/>
      <c r="AJ72" s="104"/>
      <c r="AK72" s="104"/>
      <c r="AL72" s="147"/>
      <c r="AM72" s="146"/>
      <c r="AN72" s="542">
        <v>12</v>
      </c>
      <c r="AO72" s="734"/>
      <c r="AP72" s="673"/>
      <c r="AQ72"/>
      <c r="AR72" s="104"/>
      <c r="AS72" s="104"/>
      <c r="AT72" s="104"/>
      <c r="AU72" s="104"/>
      <c r="AV72" s="104"/>
      <c r="AW72" s="104"/>
      <c r="AX72" s="104"/>
      <c r="AY72" s="104"/>
      <c r="AZ72" s="104"/>
      <c r="BA72" s="104"/>
      <c r="BB72" s="104"/>
      <c r="BC72" s="104"/>
      <c r="BD72" s="104"/>
      <c r="BE72" s="147"/>
      <c r="BF72" s="146"/>
      <c r="BG72" s="542">
        <v>12</v>
      </c>
      <c r="BH72" s="734"/>
      <c r="BI72" s="673"/>
      <c r="BJ72"/>
      <c r="BK72" s="104"/>
      <c r="BL72" s="104"/>
      <c r="BM72" s="104"/>
      <c r="BN72" s="104"/>
      <c r="BO72" s="104"/>
      <c r="BP72" s="104"/>
      <c r="BQ72" s="104"/>
      <c r="BR72" s="104"/>
      <c r="BS72" s="104"/>
      <c r="BT72" s="104"/>
      <c r="BU72" s="104"/>
      <c r="BV72" s="104"/>
      <c r="BW72" s="104"/>
      <c r="BX72" s="147"/>
    </row>
    <row r="73" spans="1:76">
      <c r="A73" s="146"/>
      <c r="B73" s="542">
        <v>13</v>
      </c>
      <c r="C73" s="734"/>
      <c r="D73" s="673"/>
      <c r="E73"/>
      <c r="F73" s="104"/>
      <c r="G73" s="104"/>
      <c r="H73" s="104"/>
      <c r="I73" s="104"/>
      <c r="J73" s="104"/>
      <c r="K73" s="104"/>
      <c r="L73" s="104"/>
      <c r="M73" s="104"/>
      <c r="N73" s="104"/>
      <c r="O73" s="104"/>
      <c r="P73" s="104"/>
      <c r="Q73" s="104"/>
      <c r="R73" s="104"/>
      <c r="S73" s="147"/>
      <c r="T73" s="146"/>
      <c r="U73" s="542">
        <v>13</v>
      </c>
      <c r="V73" s="734"/>
      <c r="W73" s="673"/>
      <c r="X73"/>
      <c r="Y73" s="104"/>
      <c r="Z73" s="104"/>
      <c r="AA73" s="104"/>
      <c r="AB73" s="104"/>
      <c r="AC73" s="104"/>
      <c r="AD73" s="104"/>
      <c r="AE73" s="104"/>
      <c r="AF73" s="104"/>
      <c r="AG73" s="104"/>
      <c r="AH73" s="104"/>
      <c r="AI73" s="104"/>
      <c r="AJ73" s="104"/>
      <c r="AK73" s="104"/>
      <c r="AL73" s="147"/>
      <c r="AM73" s="146"/>
      <c r="AN73" s="542">
        <v>13</v>
      </c>
      <c r="AO73" s="734"/>
      <c r="AP73" s="673"/>
      <c r="AQ73"/>
      <c r="AR73" s="104"/>
      <c r="AS73" s="104"/>
      <c r="AT73" s="104"/>
      <c r="AU73" s="104"/>
      <c r="AV73" s="104"/>
      <c r="AW73" s="104"/>
      <c r="AX73" s="104"/>
      <c r="AY73" s="104"/>
      <c r="AZ73" s="104"/>
      <c r="BA73" s="104"/>
      <c r="BB73" s="104"/>
      <c r="BC73" s="104"/>
      <c r="BD73" s="104"/>
      <c r="BE73" s="147"/>
      <c r="BF73" s="146"/>
      <c r="BG73" s="542">
        <v>13</v>
      </c>
      <c r="BH73" s="734"/>
      <c r="BI73" s="673"/>
      <c r="BJ73"/>
      <c r="BK73" s="104"/>
      <c r="BL73" s="104"/>
      <c r="BM73" s="104"/>
      <c r="BN73" s="104"/>
      <c r="BO73" s="104"/>
      <c r="BP73" s="104"/>
      <c r="BQ73" s="104"/>
      <c r="BR73" s="104"/>
      <c r="BS73" s="104"/>
      <c r="BT73" s="104"/>
      <c r="BU73" s="104"/>
      <c r="BV73" s="104"/>
      <c r="BW73" s="104"/>
      <c r="BX73" s="147"/>
    </row>
    <row r="74" spans="1:76">
      <c r="A74" s="146"/>
      <c r="B74" s="542">
        <v>14</v>
      </c>
      <c r="C74" s="734"/>
      <c r="D74" s="673"/>
      <c r="E74"/>
      <c r="F74" s="104"/>
      <c r="G74" s="104"/>
      <c r="H74" s="104"/>
      <c r="I74" s="104"/>
      <c r="J74" s="104"/>
      <c r="K74" s="104"/>
      <c r="L74" s="104"/>
      <c r="M74" s="104"/>
      <c r="N74" s="104"/>
      <c r="O74" s="104"/>
      <c r="P74" s="104"/>
      <c r="Q74" s="104"/>
      <c r="R74" s="104"/>
      <c r="S74" s="147"/>
      <c r="T74" s="146"/>
      <c r="U74" s="542">
        <v>14</v>
      </c>
      <c r="V74" s="734"/>
      <c r="W74" s="673"/>
      <c r="X74"/>
      <c r="Y74" s="104"/>
      <c r="Z74" s="104"/>
      <c r="AA74" s="104"/>
      <c r="AB74" s="104"/>
      <c r="AC74" s="104"/>
      <c r="AD74" s="104"/>
      <c r="AE74" s="104"/>
      <c r="AF74" s="104"/>
      <c r="AG74" s="104"/>
      <c r="AH74" s="104"/>
      <c r="AI74" s="104"/>
      <c r="AJ74" s="104"/>
      <c r="AK74" s="104"/>
      <c r="AL74" s="147"/>
      <c r="AM74" s="146"/>
      <c r="AN74" s="542">
        <v>14</v>
      </c>
      <c r="AO74" s="734"/>
      <c r="AP74" s="673"/>
      <c r="AQ74"/>
      <c r="AR74" s="104"/>
      <c r="AS74" s="104"/>
      <c r="AT74" s="104"/>
      <c r="AU74" s="104"/>
      <c r="AV74" s="104"/>
      <c r="AW74" s="104"/>
      <c r="AX74" s="104"/>
      <c r="AY74" s="104"/>
      <c r="AZ74" s="104"/>
      <c r="BA74" s="104"/>
      <c r="BB74" s="104"/>
      <c r="BC74" s="104"/>
      <c r="BD74" s="104"/>
      <c r="BE74" s="147"/>
      <c r="BF74" s="146"/>
      <c r="BG74" s="542">
        <v>14</v>
      </c>
      <c r="BH74" s="734"/>
      <c r="BI74" s="673"/>
      <c r="BJ74"/>
      <c r="BK74" s="104"/>
      <c r="BL74" s="104"/>
      <c r="BM74" s="104"/>
      <c r="BN74" s="104"/>
      <c r="BO74" s="104"/>
      <c r="BP74" s="104"/>
      <c r="BQ74" s="104"/>
      <c r="BR74" s="104"/>
      <c r="BS74" s="104"/>
      <c r="BT74" s="104"/>
      <c r="BU74" s="104"/>
      <c r="BV74" s="104"/>
      <c r="BW74" s="104"/>
      <c r="BX74" s="147"/>
    </row>
    <row r="75" spans="1:76">
      <c r="A75" s="146"/>
      <c r="B75" s="542">
        <v>15</v>
      </c>
      <c r="C75" s="734"/>
      <c r="D75" s="673"/>
      <c r="E75"/>
      <c r="F75" s="104"/>
      <c r="G75" s="104"/>
      <c r="H75" s="104"/>
      <c r="I75" s="104"/>
      <c r="J75" s="104"/>
      <c r="K75" s="104"/>
      <c r="L75" s="104"/>
      <c r="M75" s="104"/>
      <c r="N75" s="104"/>
      <c r="O75" s="104"/>
      <c r="P75" s="104"/>
      <c r="Q75" s="104"/>
      <c r="R75" s="104"/>
      <c r="S75" s="147"/>
      <c r="T75" s="146"/>
      <c r="U75" s="542">
        <v>15</v>
      </c>
      <c r="V75" s="734"/>
      <c r="W75" s="673"/>
      <c r="X75"/>
      <c r="Y75" s="104"/>
      <c r="Z75" s="104"/>
      <c r="AA75" s="104"/>
      <c r="AB75" s="104"/>
      <c r="AC75" s="104"/>
      <c r="AD75" s="104"/>
      <c r="AE75" s="104"/>
      <c r="AF75" s="104"/>
      <c r="AG75" s="104"/>
      <c r="AH75" s="104"/>
      <c r="AI75" s="104"/>
      <c r="AJ75" s="104"/>
      <c r="AK75" s="104"/>
      <c r="AL75" s="147"/>
      <c r="AM75" s="146"/>
      <c r="AN75" s="542">
        <v>15</v>
      </c>
      <c r="AO75" s="734"/>
      <c r="AP75" s="673"/>
      <c r="AQ75"/>
      <c r="AR75" s="104"/>
      <c r="AS75" s="104"/>
      <c r="AT75" s="104"/>
      <c r="AU75" s="104"/>
      <c r="AV75" s="104"/>
      <c r="AW75" s="104"/>
      <c r="AX75" s="104"/>
      <c r="AY75" s="104"/>
      <c r="AZ75" s="104"/>
      <c r="BA75" s="104"/>
      <c r="BB75" s="104"/>
      <c r="BC75" s="104"/>
      <c r="BD75" s="104"/>
      <c r="BE75" s="147"/>
      <c r="BF75" s="146"/>
      <c r="BG75" s="542">
        <v>15</v>
      </c>
      <c r="BH75" s="734"/>
      <c r="BI75" s="673"/>
      <c r="BJ75"/>
      <c r="BK75" s="104"/>
      <c r="BL75" s="104"/>
      <c r="BM75" s="104"/>
      <c r="BN75" s="104"/>
      <c r="BO75" s="104"/>
      <c r="BP75" s="104"/>
      <c r="BQ75" s="104"/>
      <c r="BR75" s="104"/>
      <c r="BS75" s="104"/>
      <c r="BT75" s="104"/>
      <c r="BU75" s="104"/>
      <c r="BV75" s="104"/>
      <c r="BW75" s="104"/>
      <c r="BX75" s="147"/>
    </row>
    <row r="76" spans="1:76">
      <c r="A76" s="146"/>
      <c r="B76" s="542">
        <v>16</v>
      </c>
      <c r="C76" s="734"/>
      <c r="D76" s="673"/>
      <c r="E76"/>
      <c r="F76" s="104"/>
      <c r="G76" s="104"/>
      <c r="H76" s="104"/>
      <c r="I76" s="104"/>
      <c r="J76" s="104"/>
      <c r="K76" s="104"/>
      <c r="L76" s="104"/>
      <c r="M76" s="104"/>
      <c r="N76" s="104"/>
      <c r="O76" s="104"/>
      <c r="P76" s="104"/>
      <c r="Q76" s="104"/>
      <c r="R76" s="104"/>
      <c r="S76" s="147"/>
      <c r="T76" s="146"/>
      <c r="U76" s="542">
        <v>16</v>
      </c>
      <c r="V76" s="734"/>
      <c r="W76" s="673"/>
      <c r="X76"/>
      <c r="Y76" s="104"/>
      <c r="Z76" s="104"/>
      <c r="AA76" s="104"/>
      <c r="AB76" s="104"/>
      <c r="AC76" s="104"/>
      <c r="AD76" s="104"/>
      <c r="AE76" s="104"/>
      <c r="AF76" s="104"/>
      <c r="AG76" s="104"/>
      <c r="AH76" s="104"/>
      <c r="AI76" s="104"/>
      <c r="AJ76" s="104"/>
      <c r="AK76" s="104"/>
      <c r="AL76" s="147"/>
      <c r="AM76" s="146"/>
      <c r="AN76" s="542">
        <v>16</v>
      </c>
      <c r="AO76" s="734"/>
      <c r="AP76" s="673"/>
      <c r="AQ76"/>
      <c r="AR76" s="104"/>
      <c r="AS76" s="104"/>
      <c r="AT76" s="104"/>
      <c r="AU76" s="104"/>
      <c r="AV76" s="104"/>
      <c r="AW76" s="104"/>
      <c r="AX76" s="104"/>
      <c r="AY76" s="104"/>
      <c r="AZ76" s="104"/>
      <c r="BA76" s="104"/>
      <c r="BB76" s="104"/>
      <c r="BC76" s="104"/>
      <c r="BD76" s="104"/>
      <c r="BE76" s="147"/>
      <c r="BF76" s="146"/>
      <c r="BG76" s="542">
        <v>16</v>
      </c>
      <c r="BH76" s="734"/>
      <c r="BI76" s="673"/>
      <c r="BJ76"/>
      <c r="BK76" s="104"/>
      <c r="BL76" s="104"/>
      <c r="BM76" s="104"/>
      <c r="BN76" s="104"/>
      <c r="BO76" s="104"/>
      <c r="BP76" s="104"/>
      <c r="BQ76" s="104"/>
      <c r="BR76" s="104"/>
      <c r="BS76" s="104"/>
      <c r="BT76" s="104"/>
      <c r="BU76" s="104"/>
      <c r="BV76" s="104"/>
      <c r="BW76" s="104"/>
      <c r="BX76" s="147"/>
    </row>
    <row r="77" spans="1:76">
      <c r="A77" s="146"/>
      <c r="B77" s="542">
        <v>17</v>
      </c>
      <c r="C77" s="734"/>
      <c r="D77" s="673"/>
      <c r="E77"/>
      <c r="F77" s="104"/>
      <c r="G77" s="104"/>
      <c r="H77" s="104"/>
      <c r="I77" s="104"/>
      <c r="J77" s="104"/>
      <c r="K77" s="104"/>
      <c r="L77" s="104"/>
      <c r="M77" s="104"/>
      <c r="N77" s="104"/>
      <c r="O77" s="104"/>
      <c r="P77" s="104"/>
      <c r="Q77" s="104"/>
      <c r="R77" s="104"/>
      <c r="S77" s="147"/>
      <c r="T77" s="146"/>
      <c r="U77" s="542">
        <v>17</v>
      </c>
      <c r="V77" s="734"/>
      <c r="W77" s="673"/>
      <c r="X77"/>
      <c r="Y77" s="104"/>
      <c r="Z77" s="104"/>
      <c r="AA77" s="104"/>
      <c r="AB77" s="104"/>
      <c r="AC77" s="104"/>
      <c r="AD77" s="104"/>
      <c r="AE77" s="104"/>
      <c r="AF77" s="104"/>
      <c r="AG77" s="104"/>
      <c r="AH77" s="104"/>
      <c r="AI77" s="104"/>
      <c r="AJ77" s="104"/>
      <c r="AK77" s="104"/>
      <c r="AL77" s="147"/>
      <c r="AM77" s="146"/>
      <c r="AN77" s="542">
        <v>17</v>
      </c>
      <c r="AO77" s="734"/>
      <c r="AP77" s="673"/>
      <c r="AQ77"/>
      <c r="AR77" s="104"/>
      <c r="AS77" s="104"/>
      <c r="AT77" s="104"/>
      <c r="AU77" s="104"/>
      <c r="AV77" s="104"/>
      <c r="AW77" s="104"/>
      <c r="AX77" s="104"/>
      <c r="AY77" s="104"/>
      <c r="AZ77" s="104"/>
      <c r="BA77" s="104"/>
      <c r="BB77" s="104"/>
      <c r="BC77" s="104"/>
      <c r="BD77" s="104"/>
      <c r="BE77" s="147"/>
      <c r="BF77" s="146"/>
      <c r="BG77" s="542">
        <v>17</v>
      </c>
      <c r="BH77" s="734"/>
      <c r="BI77" s="673"/>
      <c r="BJ77"/>
      <c r="BK77" s="104"/>
      <c r="BL77" s="104"/>
      <c r="BM77" s="104"/>
      <c r="BN77" s="104"/>
      <c r="BO77" s="104"/>
      <c r="BP77" s="104"/>
      <c r="BQ77" s="104"/>
      <c r="BR77" s="104"/>
      <c r="BS77" s="104"/>
      <c r="BT77" s="104"/>
      <c r="BU77" s="104"/>
      <c r="BV77" s="104"/>
      <c r="BW77" s="104"/>
      <c r="BX77" s="147"/>
    </row>
    <row r="78" spans="1:76">
      <c r="A78" s="146"/>
      <c r="B78" s="542">
        <v>18</v>
      </c>
      <c r="C78" s="734"/>
      <c r="D78" s="673"/>
      <c r="E78"/>
      <c r="F78" s="104"/>
      <c r="G78" s="104"/>
      <c r="H78" s="104"/>
      <c r="I78" s="104"/>
      <c r="J78" s="104"/>
      <c r="K78" s="104"/>
      <c r="L78" s="104"/>
      <c r="M78" s="104"/>
      <c r="N78" s="104"/>
      <c r="O78" s="104"/>
      <c r="P78" s="104"/>
      <c r="Q78" s="104"/>
      <c r="R78" s="104"/>
      <c r="S78" s="147"/>
      <c r="T78" s="146"/>
      <c r="U78" s="542">
        <v>18</v>
      </c>
      <c r="V78" s="734"/>
      <c r="W78" s="673"/>
      <c r="X78"/>
      <c r="Y78" s="104"/>
      <c r="Z78" s="104"/>
      <c r="AA78" s="104"/>
      <c r="AB78" s="104"/>
      <c r="AC78" s="104"/>
      <c r="AD78" s="104"/>
      <c r="AE78" s="104"/>
      <c r="AF78" s="104"/>
      <c r="AG78" s="104"/>
      <c r="AH78" s="104"/>
      <c r="AI78" s="104"/>
      <c r="AJ78" s="104"/>
      <c r="AK78" s="104"/>
      <c r="AL78" s="147"/>
      <c r="AM78" s="146"/>
      <c r="AN78" s="542">
        <v>18</v>
      </c>
      <c r="AO78" s="734"/>
      <c r="AP78" s="673"/>
      <c r="AQ78"/>
      <c r="AR78" s="104"/>
      <c r="AS78" s="104"/>
      <c r="AT78" s="104"/>
      <c r="AU78" s="104"/>
      <c r="AV78" s="104"/>
      <c r="AW78" s="104"/>
      <c r="AX78" s="104"/>
      <c r="AY78" s="104"/>
      <c r="AZ78" s="104"/>
      <c r="BA78" s="104"/>
      <c r="BB78" s="104"/>
      <c r="BC78" s="104"/>
      <c r="BD78" s="104"/>
      <c r="BE78" s="147"/>
      <c r="BF78" s="146"/>
      <c r="BG78" s="542">
        <v>18</v>
      </c>
      <c r="BH78" s="734"/>
      <c r="BI78" s="673"/>
      <c r="BJ78"/>
      <c r="BK78" s="104"/>
      <c r="BL78" s="104"/>
      <c r="BM78" s="104"/>
      <c r="BN78" s="104"/>
      <c r="BO78" s="104"/>
      <c r="BP78" s="104"/>
      <c r="BQ78" s="104"/>
      <c r="BR78" s="104"/>
      <c r="BS78" s="104"/>
      <c r="BT78" s="104"/>
      <c r="BU78" s="104"/>
      <c r="BV78" s="104"/>
      <c r="BW78" s="104"/>
      <c r="BX78" s="147"/>
    </row>
    <row r="79" spans="1:76">
      <c r="A79" s="146"/>
      <c r="B79" s="542">
        <v>19</v>
      </c>
      <c r="C79" s="734"/>
      <c r="D79" s="673"/>
      <c r="E79"/>
      <c r="F79" s="104"/>
      <c r="G79" s="104"/>
      <c r="H79" s="104"/>
      <c r="I79" s="104"/>
      <c r="J79" s="104"/>
      <c r="K79" s="104"/>
      <c r="L79" s="104"/>
      <c r="M79" s="104"/>
      <c r="N79" s="104"/>
      <c r="O79" s="104"/>
      <c r="P79" s="104"/>
      <c r="Q79" s="104"/>
      <c r="R79" s="104"/>
      <c r="S79" s="147"/>
      <c r="T79" s="146"/>
      <c r="U79" s="542">
        <v>19</v>
      </c>
      <c r="V79" s="734"/>
      <c r="W79" s="673"/>
      <c r="X79"/>
      <c r="Y79" s="104"/>
      <c r="Z79" s="104"/>
      <c r="AA79" s="104"/>
      <c r="AB79" s="104"/>
      <c r="AC79" s="104"/>
      <c r="AD79" s="104"/>
      <c r="AE79" s="104"/>
      <c r="AF79" s="104"/>
      <c r="AG79" s="104"/>
      <c r="AH79" s="104"/>
      <c r="AI79" s="104"/>
      <c r="AJ79" s="104"/>
      <c r="AK79" s="104"/>
      <c r="AL79" s="147"/>
      <c r="AM79" s="146"/>
      <c r="AN79" s="542">
        <v>19</v>
      </c>
      <c r="AO79" s="734"/>
      <c r="AP79" s="673"/>
      <c r="AQ79"/>
      <c r="AR79" s="104"/>
      <c r="AS79" s="104"/>
      <c r="AT79" s="104"/>
      <c r="AU79" s="104"/>
      <c r="AV79" s="104"/>
      <c r="AW79" s="104"/>
      <c r="AX79" s="104"/>
      <c r="AY79" s="104"/>
      <c r="AZ79" s="104"/>
      <c r="BA79" s="104"/>
      <c r="BB79" s="104"/>
      <c r="BC79" s="104"/>
      <c r="BD79" s="104"/>
      <c r="BE79" s="147"/>
      <c r="BF79" s="146"/>
      <c r="BG79" s="542">
        <v>19</v>
      </c>
      <c r="BH79" s="734"/>
      <c r="BI79" s="673"/>
      <c r="BJ79"/>
      <c r="BK79" s="104"/>
      <c r="BL79" s="104"/>
      <c r="BM79" s="104"/>
      <c r="BN79" s="104"/>
      <c r="BO79" s="104"/>
      <c r="BP79" s="104"/>
      <c r="BQ79" s="104"/>
      <c r="BR79" s="104"/>
      <c r="BS79" s="104"/>
      <c r="BT79" s="104"/>
      <c r="BU79" s="104"/>
      <c r="BV79" s="104"/>
      <c r="BW79" s="104"/>
      <c r="BX79" s="147"/>
    </row>
    <row r="80" spans="1:76">
      <c r="A80" s="146"/>
      <c r="B80" s="542">
        <v>20</v>
      </c>
      <c r="C80" s="734"/>
      <c r="D80" s="673"/>
      <c r="E80"/>
      <c r="F80" s="104"/>
      <c r="G80" s="104"/>
      <c r="H80" s="104"/>
      <c r="I80" s="104"/>
      <c r="J80" s="104"/>
      <c r="K80" s="104"/>
      <c r="L80" s="104"/>
      <c r="M80" s="104"/>
      <c r="N80" s="104"/>
      <c r="O80" s="104"/>
      <c r="P80" s="104"/>
      <c r="Q80" s="104"/>
      <c r="R80" s="104"/>
      <c r="S80" s="147"/>
      <c r="T80" s="146"/>
      <c r="U80" s="542">
        <v>20</v>
      </c>
      <c r="V80" s="734"/>
      <c r="W80" s="673"/>
      <c r="X80"/>
      <c r="Y80" s="104"/>
      <c r="Z80" s="104"/>
      <c r="AA80" s="104"/>
      <c r="AB80" s="104"/>
      <c r="AC80" s="104"/>
      <c r="AD80" s="104"/>
      <c r="AE80" s="104"/>
      <c r="AF80" s="104"/>
      <c r="AG80" s="104"/>
      <c r="AH80" s="104"/>
      <c r="AI80" s="104"/>
      <c r="AJ80" s="104"/>
      <c r="AK80" s="104"/>
      <c r="AL80" s="147"/>
      <c r="AM80" s="146"/>
      <c r="AN80" s="542">
        <v>20</v>
      </c>
      <c r="AO80" s="734"/>
      <c r="AP80" s="673"/>
      <c r="AQ80"/>
      <c r="AR80" s="104"/>
      <c r="AS80" s="104"/>
      <c r="AT80" s="104"/>
      <c r="AU80" s="104"/>
      <c r="AV80" s="104"/>
      <c r="AW80" s="104"/>
      <c r="AX80" s="104"/>
      <c r="AY80" s="104"/>
      <c r="AZ80" s="104"/>
      <c r="BA80" s="104"/>
      <c r="BB80" s="104"/>
      <c r="BC80" s="104"/>
      <c r="BD80" s="104"/>
      <c r="BE80" s="147"/>
      <c r="BF80" s="146"/>
      <c r="BG80" s="542">
        <v>20</v>
      </c>
      <c r="BH80" s="734"/>
      <c r="BI80" s="673"/>
      <c r="BJ80"/>
      <c r="BK80" s="104"/>
      <c r="BL80" s="104"/>
      <c r="BM80" s="104"/>
      <c r="BN80" s="104"/>
      <c r="BO80" s="104"/>
      <c r="BP80" s="104"/>
      <c r="BQ80" s="104"/>
      <c r="BR80" s="104"/>
      <c r="BS80" s="104"/>
      <c r="BT80" s="104"/>
      <c r="BU80" s="104"/>
      <c r="BV80" s="104"/>
      <c r="BW80" s="104"/>
      <c r="BX80" s="147"/>
    </row>
    <row r="81" spans="1:76">
      <c r="A81" s="146"/>
      <c r="B81" s="542">
        <v>21</v>
      </c>
      <c r="C81" s="734"/>
      <c r="D81" s="673"/>
      <c r="E81"/>
      <c r="F81" s="104"/>
      <c r="G81" s="104"/>
      <c r="H81" s="104"/>
      <c r="I81" s="104"/>
      <c r="J81" s="104"/>
      <c r="K81" s="104"/>
      <c r="L81" s="104"/>
      <c r="M81" s="104"/>
      <c r="N81" s="104"/>
      <c r="O81" s="104"/>
      <c r="P81" s="104"/>
      <c r="Q81" s="104"/>
      <c r="R81" s="104"/>
      <c r="S81" s="147"/>
      <c r="T81" s="146"/>
      <c r="U81" s="542">
        <v>21</v>
      </c>
      <c r="V81" s="734"/>
      <c r="W81" s="673"/>
      <c r="X81"/>
      <c r="Y81" s="104"/>
      <c r="Z81" s="104"/>
      <c r="AA81" s="104"/>
      <c r="AB81" s="104"/>
      <c r="AC81" s="104"/>
      <c r="AD81" s="104"/>
      <c r="AE81" s="104"/>
      <c r="AF81" s="104"/>
      <c r="AG81" s="104"/>
      <c r="AH81" s="104"/>
      <c r="AI81" s="104"/>
      <c r="AJ81" s="104"/>
      <c r="AK81" s="104"/>
      <c r="AL81" s="147"/>
      <c r="AM81" s="146"/>
      <c r="AN81" s="542">
        <v>21</v>
      </c>
      <c r="AO81" s="734"/>
      <c r="AP81" s="673"/>
      <c r="AQ81"/>
      <c r="AR81" s="104"/>
      <c r="AS81" s="104"/>
      <c r="AT81" s="104"/>
      <c r="AU81" s="104"/>
      <c r="AV81" s="104"/>
      <c r="AW81" s="104"/>
      <c r="AX81" s="104"/>
      <c r="AY81" s="104"/>
      <c r="AZ81" s="104"/>
      <c r="BA81" s="104"/>
      <c r="BB81" s="104"/>
      <c r="BC81" s="104"/>
      <c r="BD81" s="104"/>
      <c r="BE81" s="147"/>
      <c r="BF81" s="146"/>
      <c r="BG81" s="542">
        <v>21</v>
      </c>
      <c r="BH81" s="734"/>
      <c r="BI81" s="673"/>
      <c r="BJ81"/>
      <c r="BK81" s="104"/>
      <c r="BL81" s="104"/>
      <c r="BM81" s="104"/>
      <c r="BN81" s="104"/>
      <c r="BO81" s="104"/>
      <c r="BP81" s="104"/>
      <c r="BQ81" s="104"/>
      <c r="BR81" s="104"/>
      <c r="BS81" s="104"/>
      <c r="BT81" s="104"/>
      <c r="BU81" s="104"/>
      <c r="BV81" s="104"/>
      <c r="BW81" s="104"/>
      <c r="BX81" s="147"/>
    </row>
    <row r="82" spans="1:76">
      <c r="A82" s="146"/>
      <c r="B82" s="542">
        <v>22</v>
      </c>
      <c r="C82" s="734"/>
      <c r="D82" s="673"/>
      <c r="E82"/>
      <c r="F82" s="104"/>
      <c r="G82" s="104"/>
      <c r="H82" s="104"/>
      <c r="I82" s="104"/>
      <c r="J82" s="104"/>
      <c r="K82" s="104"/>
      <c r="L82" s="104"/>
      <c r="M82" s="104"/>
      <c r="N82" s="104"/>
      <c r="O82" s="104"/>
      <c r="P82" s="104"/>
      <c r="Q82" s="104"/>
      <c r="R82" s="104"/>
      <c r="S82" s="147"/>
      <c r="T82" s="146"/>
      <c r="U82" s="542">
        <v>22</v>
      </c>
      <c r="V82" s="734"/>
      <c r="W82" s="673"/>
      <c r="X82"/>
      <c r="Y82" s="104"/>
      <c r="Z82" s="104"/>
      <c r="AA82" s="104"/>
      <c r="AB82" s="104"/>
      <c r="AC82" s="104"/>
      <c r="AD82" s="104"/>
      <c r="AE82" s="104"/>
      <c r="AF82" s="104"/>
      <c r="AG82" s="104"/>
      <c r="AH82" s="104"/>
      <c r="AI82" s="104"/>
      <c r="AJ82" s="104"/>
      <c r="AK82" s="104"/>
      <c r="AL82" s="147"/>
      <c r="AM82" s="146"/>
      <c r="AN82" s="542">
        <v>22</v>
      </c>
      <c r="AO82" s="734"/>
      <c r="AP82" s="673"/>
      <c r="AQ82"/>
      <c r="AR82" s="104"/>
      <c r="AS82" s="104"/>
      <c r="AT82" s="104"/>
      <c r="AU82" s="104"/>
      <c r="AV82" s="104"/>
      <c r="AW82" s="104"/>
      <c r="AX82" s="104"/>
      <c r="AY82" s="104"/>
      <c r="AZ82" s="104"/>
      <c r="BA82" s="104"/>
      <c r="BB82" s="104"/>
      <c r="BC82" s="104"/>
      <c r="BD82" s="104"/>
      <c r="BE82" s="147"/>
      <c r="BF82" s="146"/>
      <c r="BG82" s="542">
        <v>22</v>
      </c>
      <c r="BH82" s="734"/>
      <c r="BI82" s="673"/>
      <c r="BJ82"/>
      <c r="BK82" s="104"/>
      <c r="BL82" s="104"/>
      <c r="BM82" s="104"/>
      <c r="BN82" s="104"/>
      <c r="BO82" s="104"/>
      <c r="BP82" s="104"/>
      <c r="BQ82" s="104"/>
      <c r="BR82" s="104"/>
      <c r="BS82" s="104"/>
      <c r="BT82" s="104"/>
      <c r="BU82" s="104"/>
      <c r="BV82" s="104"/>
      <c r="BW82" s="104"/>
      <c r="BX82" s="147"/>
    </row>
    <row r="83" spans="1:76">
      <c r="A83" s="146"/>
      <c r="B83" s="542">
        <v>23</v>
      </c>
      <c r="C83" s="734"/>
      <c r="D83" s="673"/>
      <c r="E83"/>
      <c r="F83" s="104"/>
      <c r="G83" s="104"/>
      <c r="H83" s="104"/>
      <c r="I83" s="104"/>
      <c r="J83" s="104"/>
      <c r="K83" s="104"/>
      <c r="L83" s="104"/>
      <c r="M83" s="104"/>
      <c r="N83" s="104"/>
      <c r="O83" s="104"/>
      <c r="P83" s="104"/>
      <c r="Q83" s="104"/>
      <c r="R83" s="104"/>
      <c r="S83" s="147"/>
      <c r="T83" s="146"/>
      <c r="U83" s="542">
        <v>23</v>
      </c>
      <c r="V83" s="734"/>
      <c r="W83" s="673"/>
      <c r="X83"/>
      <c r="Y83" s="104"/>
      <c r="Z83" s="104"/>
      <c r="AA83" s="104"/>
      <c r="AB83" s="104"/>
      <c r="AC83" s="104"/>
      <c r="AD83" s="104"/>
      <c r="AE83" s="104"/>
      <c r="AF83" s="104"/>
      <c r="AG83" s="104"/>
      <c r="AH83" s="104"/>
      <c r="AI83" s="104"/>
      <c r="AJ83" s="104"/>
      <c r="AK83" s="104"/>
      <c r="AL83" s="147"/>
      <c r="AM83" s="146"/>
      <c r="AN83" s="542">
        <v>23</v>
      </c>
      <c r="AO83" s="734"/>
      <c r="AP83" s="673"/>
      <c r="AQ83"/>
      <c r="AR83" s="104"/>
      <c r="AS83" s="104"/>
      <c r="AT83" s="104"/>
      <c r="AU83" s="104"/>
      <c r="AV83" s="104"/>
      <c r="AW83" s="104"/>
      <c r="AX83" s="104"/>
      <c r="AY83" s="104"/>
      <c r="AZ83" s="104"/>
      <c r="BA83" s="104"/>
      <c r="BB83" s="104"/>
      <c r="BC83" s="104"/>
      <c r="BD83" s="104"/>
      <c r="BE83" s="147"/>
      <c r="BF83" s="146"/>
      <c r="BG83" s="542">
        <v>23</v>
      </c>
      <c r="BH83" s="734"/>
      <c r="BI83" s="673"/>
      <c r="BJ83"/>
      <c r="BK83" s="104"/>
      <c r="BL83" s="104"/>
      <c r="BM83" s="104"/>
      <c r="BN83" s="104"/>
      <c r="BO83" s="104"/>
      <c r="BP83" s="104"/>
      <c r="BQ83" s="104"/>
      <c r="BR83" s="104"/>
      <c r="BS83" s="104"/>
      <c r="BT83" s="104"/>
      <c r="BU83" s="104"/>
      <c r="BV83" s="104"/>
      <c r="BW83" s="104"/>
      <c r="BX83" s="147"/>
    </row>
    <row r="84" spans="1:76">
      <c r="A84" s="146"/>
      <c r="B84" s="542">
        <v>24</v>
      </c>
      <c r="C84" s="734"/>
      <c r="D84" s="673"/>
      <c r="E84"/>
      <c r="F84" s="104"/>
      <c r="G84" s="104"/>
      <c r="H84" s="104"/>
      <c r="I84" s="104"/>
      <c r="J84" s="104"/>
      <c r="K84" s="104"/>
      <c r="L84" s="104"/>
      <c r="M84" s="104"/>
      <c r="N84" s="104"/>
      <c r="O84" s="104"/>
      <c r="P84" s="104"/>
      <c r="Q84" s="104"/>
      <c r="R84" s="104"/>
      <c r="S84" s="147"/>
      <c r="T84" s="146"/>
      <c r="U84" s="542">
        <v>24</v>
      </c>
      <c r="V84" s="734"/>
      <c r="W84" s="673"/>
      <c r="X84"/>
      <c r="Y84" s="104"/>
      <c r="Z84" s="104"/>
      <c r="AA84" s="104"/>
      <c r="AB84" s="104"/>
      <c r="AC84" s="104"/>
      <c r="AD84" s="104"/>
      <c r="AE84" s="104"/>
      <c r="AF84" s="104"/>
      <c r="AG84" s="104"/>
      <c r="AH84" s="104"/>
      <c r="AI84" s="104"/>
      <c r="AJ84" s="104"/>
      <c r="AK84" s="104"/>
      <c r="AL84" s="147"/>
      <c r="AM84" s="146"/>
      <c r="AN84" s="542">
        <v>24</v>
      </c>
      <c r="AO84" s="734"/>
      <c r="AP84" s="673"/>
      <c r="AQ84"/>
      <c r="AR84" s="104"/>
      <c r="AS84" s="104"/>
      <c r="AT84" s="104"/>
      <c r="AU84" s="104"/>
      <c r="AV84" s="104"/>
      <c r="AW84" s="104"/>
      <c r="AX84" s="104"/>
      <c r="AY84" s="104"/>
      <c r="AZ84" s="104"/>
      <c r="BA84" s="104"/>
      <c r="BB84" s="104"/>
      <c r="BC84" s="104"/>
      <c r="BD84" s="104"/>
      <c r="BE84" s="147"/>
      <c r="BF84" s="146"/>
      <c r="BG84" s="542">
        <v>24</v>
      </c>
      <c r="BH84" s="734"/>
      <c r="BI84" s="673"/>
      <c r="BJ84"/>
      <c r="BK84" s="104"/>
      <c r="BL84" s="104"/>
      <c r="BM84" s="104"/>
      <c r="BN84" s="104"/>
      <c r="BO84" s="104"/>
      <c r="BP84" s="104"/>
      <c r="BQ84" s="104"/>
      <c r="BR84" s="104"/>
      <c r="BS84" s="104"/>
      <c r="BT84" s="104"/>
      <c r="BU84" s="104"/>
      <c r="BV84" s="104"/>
      <c r="BW84" s="104"/>
      <c r="BX84" s="147"/>
    </row>
    <row r="85" spans="1:76">
      <c r="A85" s="146"/>
      <c r="B85" s="542">
        <v>25</v>
      </c>
      <c r="C85" s="734"/>
      <c r="D85" s="673"/>
      <c r="E85"/>
      <c r="F85" s="104"/>
      <c r="G85" s="104"/>
      <c r="H85" s="104"/>
      <c r="I85" s="104"/>
      <c r="J85" s="104"/>
      <c r="K85" s="104"/>
      <c r="L85" s="104"/>
      <c r="M85" s="104"/>
      <c r="N85" s="104"/>
      <c r="O85" s="104"/>
      <c r="P85" s="104"/>
      <c r="Q85" s="104"/>
      <c r="R85" s="104"/>
      <c r="S85" s="147"/>
      <c r="T85" s="146"/>
      <c r="U85" s="542">
        <v>25</v>
      </c>
      <c r="V85" s="734"/>
      <c r="W85" s="673"/>
      <c r="X85"/>
      <c r="Y85" s="104"/>
      <c r="Z85" s="104"/>
      <c r="AA85" s="104"/>
      <c r="AB85" s="104"/>
      <c r="AC85" s="104"/>
      <c r="AD85" s="104"/>
      <c r="AE85" s="104"/>
      <c r="AF85" s="104"/>
      <c r="AG85" s="104"/>
      <c r="AH85" s="104"/>
      <c r="AI85" s="104"/>
      <c r="AJ85" s="104"/>
      <c r="AK85" s="104"/>
      <c r="AL85" s="147"/>
      <c r="AM85" s="146"/>
      <c r="AN85" s="542">
        <v>25</v>
      </c>
      <c r="AO85" s="734"/>
      <c r="AP85" s="673"/>
      <c r="AQ85"/>
      <c r="AR85" s="104"/>
      <c r="AS85" s="104"/>
      <c r="AT85" s="104"/>
      <c r="AU85" s="104"/>
      <c r="AV85" s="104"/>
      <c r="AW85" s="104"/>
      <c r="AX85" s="104"/>
      <c r="AY85" s="104"/>
      <c r="AZ85" s="104"/>
      <c r="BA85" s="104"/>
      <c r="BB85" s="104"/>
      <c r="BC85" s="104"/>
      <c r="BD85" s="104"/>
      <c r="BE85" s="147"/>
      <c r="BF85" s="146"/>
      <c r="BG85" s="542">
        <v>25</v>
      </c>
      <c r="BH85" s="734"/>
      <c r="BI85" s="673"/>
      <c r="BJ85"/>
      <c r="BK85" s="104"/>
      <c r="BL85" s="104"/>
      <c r="BM85" s="104"/>
      <c r="BN85" s="104"/>
      <c r="BO85" s="104"/>
      <c r="BP85" s="104"/>
      <c r="BQ85" s="104"/>
      <c r="BR85" s="104"/>
      <c r="BS85" s="104"/>
      <c r="BT85" s="104"/>
      <c r="BU85" s="104"/>
      <c r="BV85" s="104"/>
      <c r="BW85" s="104"/>
      <c r="BX85" s="147"/>
    </row>
    <row r="86" spans="1:76">
      <c r="A86" s="146"/>
      <c r="B86" s="542">
        <v>26</v>
      </c>
      <c r="C86" s="734"/>
      <c r="D86" s="673"/>
      <c r="E86"/>
      <c r="F86" s="104"/>
      <c r="G86" s="104"/>
      <c r="H86" s="104"/>
      <c r="I86" s="104"/>
      <c r="J86" s="104"/>
      <c r="K86" s="104"/>
      <c r="L86" s="104"/>
      <c r="M86" s="104"/>
      <c r="N86" s="104"/>
      <c r="O86" s="104"/>
      <c r="P86" s="104"/>
      <c r="Q86" s="104"/>
      <c r="R86" s="104"/>
      <c r="S86" s="147"/>
      <c r="T86" s="146"/>
      <c r="U86" s="542">
        <v>26</v>
      </c>
      <c r="V86" s="734"/>
      <c r="W86" s="673"/>
      <c r="X86"/>
      <c r="Y86" s="104"/>
      <c r="Z86" s="104"/>
      <c r="AA86" s="104"/>
      <c r="AB86" s="104"/>
      <c r="AC86" s="104"/>
      <c r="AD86" s="104"/>
      <c r="AE86" s="104"/>
      <c r="AF86" s="104"/>
      <c r="AG86" s="104"/>
      <c r="AH86" s="104"/>
      <c r="AI86" s="104"/>
      <c r="AJ86" s="104"/>
      <c r="AK86" s="104"/>
      <c r="AL86" s="147"/>
      <c r="AM86" s="146"/>
      <c r="AN86" s="542">
        <v>26</v>
      </c>
      <c r="AO86" s="734"/>
      <c r="AP86" s="673"/>
      <c r="AQ86"/>
      <c r="AR86" s="104"/>
      <c r="AS86" s="104"/>
      <c r="AT86" s="104"/>
      <c r="AU86" s="104"/>
      <c r="AV86" s="104"/>
      <c r="AW86" s="104"/>
      <c r="AX86" s="104"/>
      <c r="AY86" s="104"/>
      <c r="AZ86" s="104"/>
      <c r="BA86" s="104"/>
      <c r="BB86" s="104"/>
      <c r="BC86" s="104"/>
      <c r="BD86" s="104"/>
      <c r="BE86" s="147"/>
      <c r="BF86" s="146"/>
      <c r="BG86" s="542">
        <v>26</v>
      </c>
      <c r="BH86" s="734"/>
      <c r="BI86" s="673"/>
      <c r="BJ86"/>
      <c r="BK86" s="104"/>
      <c r="BL86" s="104"/>
      <c r="BM86" s="104"/>
      <c r="BN86" s="104"/>
      <c r="BO86" s="104"/>
      <c r="BP86" s="104"/>
      <c r="BQ86" s="104"/>
      <c r="BR86" s="104"/>
      <c r="BS86" s="104"/>
      <c r="BT86" s="104"/>
      <c r="BU86" s="104"/>
      <c r="BV86" s="104"/>
      <c r="BW86" s="104"/>
      <c r="BX86" s="147"/>
    </row>
    <row r="87" spans="1:76">
      <c r="A87" s="146"/>
      <c r="B87" s="542">
        <v>27</v>
      </c>
      <c r="C87" s="734"/>
      <c r="D87" s="673"/>
      <c r="E87"/>
      <c r="F87" s="104"/>
      <c r="G87" s="104"/>
      <c r="H87" s="104"/>
      <c r="I87" s="104"/>
      <c r="J87" s="104"/>
      <c r="K87" s="104"/>
      <c r="L87" s="104"/>
      <c r="M87" s="104"/>
      <c r="N87" s="104"/>
      <c r="O87" s="104"/>
      <c r="P87" s="104"/>
      <c r="Q87" s="104"/>
      <c r="R87" s="104"/>
      <c r="S87" s="147"/>
      <c r="T87" s="146"/>
      <c r="U87" s="542">
        <v>27</v>
      </c>
      <c r="V87" s="734"/>
      <c r="W87" s="673"/>
      <c r="X87"/>
      <c r="Y87" s="104"/>
      <c r="Z87" s="104"/>
      <c r="AA87" s="104"/>
      <c r="AB87" s="104"/>
      <c r="AC87" s="104"/>
      <c r="AD87" s="104"/>
      <c r="AE87" s="104"/>
      <c r="AF87" s="104"/>
      <c r="AG87" s="104"/>
      <c r="AH87" s="104"/>
      <c r="AI87" s="104"/>
      <c r="AJ87" s="104"/>
      <c r="AK87" s="104"/>
      <c r="AL87" s="147"/>
      <c r="AM87" s="146"/>
      <c r="AN87" s="542">
        <v>27</v>
      </c>
      <c r="AO87" s="734"/>
      <c r="AP87" s="673"/>
      <c r="AQ87"/>
      <c r="AR87" s="104"/>
      <c r="AS87" s="104"/>
      <c r="AT87" s="104"/>
      <c r="AU87" s="104"/>
      <c r="AV87" s="104"/>
      <c r="AW87" s="104"/>
      <c r="AX87" s="104"/>
      <c r="AY87" s="104"/>
      <c r="AZ87" s="104"/>
      <c r="BA87" s="104"/>
      <c r="BB87" s="104"/>
      <c r="BC87" s="104"/>
      <c r="BD87" s="104"/>
      <c r="BE87" s="147"/>
      <c r="BF87" s="146"/>
      <c r="BG87" s="542">
        <v>27</v>
      </c>
      <c r="BH87" s="734"/>
      <c r="BI87" s="673"/>
      <c r="BJ87"/>
      <c r="BK87" s="104"/>
      <c r="BL87" s="104"/>
      <c r="BM87" s="104"/>
      <c r="BN87" s="104"/>
      <c r="BO87" s="104"/>
      <c r="BP87" s="104"/>
      <c r="BQ87" s="104"/>
      <c r="BR87" s="104"/>
      <c r="BS87" s="104"/>
      <c r="BT87" s="104"/>
      <c r="BU87" s="104"/>
      <c r="BV87" s="104"/>
      <c r="BW87" s="104"/>
      <c r="BX87" s="147"/>
    </row>
    <row r="88" spans="1:76">
      <c r="A88" s="146"/>
      <c r="B88" s="542">
        <v>28</v>
      </c>
      <c r="C88" s="734"/>
      <c r="D88" s="673"/>
      <c r="E88"/>
      <c r="F88" s="104"/>
      <c r="G88" s="104"/>
      <c r="H88" s="104"/>
      <c r="I88" s="104"/>
      <c r="J88" s="104"/>
      <c r="K88" s="104"/>
      <c r="L88" s="104"/>
      <c r="M88" s="104"/>
      <c r="N88" s="104"/>
      <c r="O88" s="104"/>
      <c r="P88" s="104"/>
      <c r="Q88" s="104"/>
      <c r="R88" s="104"/>
      <c r="S88" s="147"/>
      <c r="T88" s="146"/>
      <c r="U88" s="542">
        <v>28</v>
      </c>
      <c r="V88" s="734"/>
      <c r="W88" s="673"/>
      <c r="X88"/>
      <c r="Y88" s="104"/>
      <c r="Z88" s="104"/>
      <c r="AA88" s="104"/>
      <c r="AB88" s="104"/>
      <c r="AC88" s="104"/>
      <c r="AD88" s="104"/>
      <c r="AE88" s="104"/>
      <c r="AF88" s="104"/>
      <c r="AG88" s="104"/>
      <c r="AH88" s="104"/>
      <c r="AI88" s="104"/>
      <c r="AJ88" s="104"/>
      <c r="AK88" s="104"/>
      <c r="AL88" s="147"/>
      <c r="AM88" s="146"/>
      <c r="AN88" s="542">
        <v>28</v>
      </c>
      <c r="AO88" s="734"/>
      <c r="AP88" s="673"/>
      <c r="AQ88"/>
      <c r="AR88" s="104"/>
      <c r="AS88" s="104"/>
      <c r="AT88" s="104"/>
      <c r="AU88" s="104"/>
      <c r="AV88" s="104"/>
      <c r="AW88" s="104"/>
      <c r="AX88" s="104"/>
      <c r="AY88" s="104"/>
      <c r="AZ88" s="104"/>
      <c r="BA88" s="104"/>
      <c r="BB88" s="104"/>
      <c r="BC88" s="104"/>
      <c r="BD88" s="104"/>
      <c r="BE88" s="147"/>
      <c r="BF88" s="146"/>
      <c r="BG88" s="542">
        <v>28</v>
      </c>
      <c r="BH88" s="734"/>
      <c r="BI88" s="673"/>
      <c r="BJ88"/>
      <c r="BK88" s="104"/>
      <c r="BL88" s="104"/>
      <c r="BM88" s="104"/>
      <c r="BN88" s="104"/>
      <c r="BO88" s="104"/>
      <c r="BP88" s="104"/>
      <c r="BQ88" s="104"/>
      <c r="BR88" s="104"/>
      <c r="BS88" s="104"/>
      <c r="BT88" s="104"/>
      <c r="BU88" s="104"/>
      <c r="BV88" s="104"/>
      <c r="BW88" s="104"/>
      <c r="BX88" s="147"/>
    </row>
    <row r="89" spans="1:76">
      <c r="A89" s="146"/>
      <c r="B89" s="542">
        <v>29</v>
      </c>
      <c r="C89" s="734"/>
      <c r="D89" s="673"/>
      <c r="E89"/>
      <c r="F89" s="104"/>
      <c r="G89" s="104"/>
      <c r="H89" s="104"/>
      <c r="I89" s="104"/>
      <c r="J89" s="104"/>
      <c r="K89" s="104"/>
      <c r="L89" s="104"/>
      <c r="M89" s="104"/>
      <c r="N89" s="104"/>
      <c r="O89" s="104"/>
      <c r="P89" s="104"/>
      <c r="Q89" s="104"/>
      <c r="R89" s="104"/>
      <c r="S89" s="147"/>
      <c r="T89" s="146"/>
      <c r="U89" s="542">
        <v>29</v>
      </c>
      <c r="V89" s="734"/>
      <c r="W89" s="673"/>
      <c r="X89"/>
      <c r="Y89" s="104"/>
      <c r="Z89" s="104"/>
      <c r="AA89" s="104"/>
      <c r="AB89" s="104"/>
      <c r="AC89" s="104"/>
      <c r="AD89" s="104"/>
      <c r="AE89" s="104"/>
      <c r="AF89" s="104"/>
      <c r="AG89" s="104"/>
      <c r="AH89" s="104"/>
      <c r="AI89" s="104"/>
      <c r="AJ89" s="104"/>
      <c r="AK89" s="104"/>
      <c r="AL89" s="147"/>
      <c r="AM89" s="146"/>
      <c r="AN89" s="542">
        <v>29</v>
      </c>
      <c r="AO89" s="734"/>
      <c r="AP89" s="673"/>
      <c r="AQ89"/>
      <c r="AR89" s="104"/>
      <c r="AS89" s="104"/>
      <c r="AT89" s="104"/>
      <c r="AU89" s="104"/>
      <c r="AV89" s="104"/>
      <c r="AW89" s="104"/>
      <c r="AX89" s="104"/>
      <c r="AY89" s="104"/>
      <c r="AZ89" s="104"/>
      <c r="BA89" s="104"/>
      <c r="BB89" s="104"/>
      <c r="BC89" s="104"/>
      <c r="BD89" s="104"/>
      <c r="BE89" s="147"/>
      <c r="BF89" s="146"/>
      <c r="BG89" s="542">
        <v>29</v>
      </c>
      <c r="BH89" s="734"/>
      <c r="BI89" s="673"/>
      <c r="BJ89"/>
      <c r="BK89" s="104"/>
      <c r="BL89" s="104"/>
      <c r="BM89" s="104"/>
      <c r="BN89" s="104"/>
      <c r="BO89" s="104"/>
      <c r="BP89" s="104"/>
      <c r="BQ89" s="104"/>
      <c r="BR89" s="104"/>
      <c r="BS89" s="104"/>
      <c r="BT89" s="104"/>
      <c r="BU89" s="104"/>
      <c r="BV89" s="104"/>
      <c r="BW89" s="104"/>
      <c r="BX89" s="147"/>
    </row>
    <row r="90" spans="1:76">
      <c r="A90" s="146"/>
      <c r="B90" s="542">
        <v>30</v>
      </c>
      <c r="C90" s="734"/>
      <c r="D90" s="673"/>
      <c r="E90"/>
      <c r="F90" s="104"/>
      <c r="G90" s="104"/>
      <c r="H90" s="104"/>
      <c r="I90" s="104"/>
      <c r="J90" s="104"/>
      <c r="K90" s="104"/>
      <c r="L90" s="104"/>
      <c r="M90" s="104"/>
      <c r="N90" s="104"/>
      <c r="O90" s="104"/>
      <c r="P90" s="104"/>
      <c r="Q90" s="104"/>
      <c r="R90" s="104"/>
      <c r="S90" s="147"/>
      <c r="T90" s="146"/>
      <c r="U90" s="542">
        <v>30</v>
      </c>
      <c r="V90" s="734"/>
      <c r="W90" s="673"/>
      <c r="X90"/>
      <c r="Y90" s="104"/>
      <c r="Z90" s="104"/>
      <c r="AA90" s="104"/>
      <c r="AB90" s="104"/>
      <c r="AC90" s="104"/>
      <c r="AD90" s="104"/>
      <c r="AE90" s="104"/>
      <c r="AF90" s="104"/>
      <c r="AG90" s="104"/>
      <c r="AH90" s="104"/>
      <c r="AI90" s="104"/>
      <c r="AJ90" s="104"/>
      <c r="AK90" s="104"/>
      <c r="AL90" s="147"/>
      <c r="AM90" s="146"/>
      <c r="AN90" s="542">
        <v>30</v>
      </c>
      <c r="AO90" s="734"/>
      <c r="AP90" s="673"/>
      <c r="AQ90"/>
      <c r="AR90" s="104"/>
      <c r="AS90" s="104"/>
      <c r="AT90" s="104"/>
      <c r="AU90" s="104"/>
      <c r="AV90" s="104"/>
      <c r="AW90" s="104"/>
      <c r="AX90" s="104"/>
      <c r="AY90" s="104"/>
      <c r="AZ90" s="104"/>
      <c r="BA90" s="104"/>
      <c r="BB90" s="104"/>
      <c r="BC90" s="104"/>
      <c r="BD90" s="104"/>
      <c r="BE90" s="147"/>
      <c r="BF90" s="146"/>
      <c r="BG90" s="542">
        <v>30</v>
      </c>
      <c r="BH90" s="734"/>
      <c r="BI90" s="673"/>
      <c r="BJ90"/>
      <c r="BK90" s="104"/>
      <c r="BL90" s="104"/>
      <c r="BM90" s="104"/>
      <c r="BN90" s="104"/>
      <c r="BO90" s="104"/>
      <c r="BP90" s="104"/>
      <c r="BQ90" s="104"/>
      <c r="BR90" s="104"/>
      <c r="BS90" s="104"/>
      <c r="BT90" s="104"/>
      <c r="BU90" s="104"/>
      <c r="BV90" s="104"/>
      <c r="BW90" s="104"/>
      <c r="BX90" s="147"/>
    </row>
    <row r="91" spans="1:76">
      <c r="A91" s="146"/>
      <c r="B91" s="542">
        <v>31</v>
      </c>
      <c r="C91" s="734"/>
      <c r="D91" s="673"/>
      <c r="E91"/>
      <c r="F91" s="104"/>
      <c r="G91" s="104"/>
      <c r="H91" s="104"/>
      <c r="I91" s="104"/>
      <c r="J91" s="104"/>
      <c r="K91" s="104"/>
      <c r="L91" s="104"/>
      <c r="M91" s="104"/>
      <c r="N91" s="104"/>
      <c r="O91" s="104"/>
      <c r="P91" s="104"/>
      <c r="Q91" s="104"/>
      <c r="R91" s="104"/>
      <c r="S91" s="147"/>
      <c r="T91" s="146"/>
      <c r="U91" s="542">
        <v>31</v>
      </c>
      <c r="V91" s="734"/>
      <c r="W91" s="673"/>
      <c r="X91"/>
      <c r="Y91" s="104"/>
      <c r="Z91" s="104"/>
      <c r="AA91" s="104"/>
      <c r="AB91" s="104"/>
      <c r="AC91" s="104"/>
      <c r="AD91" s="104"/>
      <c r="AE91" s="104"/>
      <c r="AF91" s="104"/>
      <c r="AG91" s="104"/>
      <c r="AH91" s="104"/>
      <c r="AI91" s="104"/>
      <c r="AJ91" s="104"/>
      <c r="AK91" s="104"/>
      <c r="AL91" s="147"/>
      <c r="AM91" s="146"/>
      <c r="AN91" s="542">
        <v>31</v>
      </c>
      <c r="AO91" s="734"/>
      <c r="AP91" s="673"/>
      <c r="AQ91"/>
      <c r="AR91" s="104"/>
      <c r="AS91" s="104"/>
      <c r="AT91" s="104"/>
      <c r="AU91" s="104"/>
      <c r="AV91" s="104"/>
      <c r="AW91" s="104"/>
      <c r="AX91" s="104"/>
      <c r="AY91" s="104"/>
      <c r="AZ91" s="104"/>
      <c r="BA91" s="104"/>
      <c r="BB91" s="104"/>
      <c r="BC91" s="104"/>
      <c r="BD91" s="104"/>
      <c r="BE91" s="147"/>
      <c r="BF91" s="146"/>
      <c r="BG91" s="542">
        <v>31</v>
      </c>
      <c r="BH91" s="734"/>
      <c r="BI91" s="673"/>
      <c r="BJ91"/>
      <c r="BK91" s="104"/>
      <c r="BL91" s="104"/>
      <c r="BM91" s="104"/>
      <c r="BN91" s="104"/>
      <c r="BO91" s="104"/>
      <c r="BP91" s="104"/>
      <c r="BQ91" s="104"/>
      <c r="BR91" s="104"/>
      <c r="BS91" s="104"/>
      <c r="BT91" s="104"/>
      <c r="BU91" s="104"/>
      <c r="BV91" s="104"/>
      <c r="BW91" s="104"/>
      <c r="BX91" s="147"/>
    </row>
    <row r="92" spans="1:76">
      <c r="A92" s="146"/>
      <c r="B92" s="542">
        <v>32</v>
      </c>
      <c r="C92" s="734"/>
      <c r="D92" s="673"/>
      <c r="E92"/>
      <c r="F92" s="104"/>
      <c r="G92" s="104"/>
      <c r="H92" s="104"/>
      <c r="I92" s="104"/>
      <c r="J92" s="104"/>
      <c r="K92" s="104"/>
      <c r="L92" s="104"/>
      <c r="M92" s="104"/>
      <c r="N92" s="104"/>
      <c r="O92" s="104"/>
      <c r="P92" s="104"/>
      <c r="Q92" s="104"/>
      <c r="R92" s="104"/>
      <c r="S92" s="147"/>
      <c r="T92" s="146"/>
      <c r="U92" s="542">
        <v>32</v>
      </c>
      <c r="V92" s="734"/>
      <c r="W92" s="673"/>
      <c r="X92"/>
      <c r="Y92" s="104"/>
      <c r="Z92" s="104"/>
      <c r="AA92" s="104"/>
      <c r="AB92" s="104"/>
      <c r="AC92" s="104"/>
      <c r="AD92" s="104"/>
      <c r="AE92" s="104"/>
      <c r="AF92" s="104"/>
      <c r="AG92" s="104"/>
      <c r="AH92" s="104"/>
      <c r="AI92" s="104"/>
      <c r="AJ92" s="104"/>
      <c r="AK92" s="104"/>
      <c r="AL92" s="147"/>
      <c r="AM92" s="146"/>
      <c r="AN92" s="542">
        <v>32</v>
      </c>
      <c r="AO92" s="734"/>
      <c r="AP92" s="673"/>
      <c r="AQ92"/>
      <c r="AR92" s="104"/>
      <c r="AS92" s="104"/>
      <c r="AT92" s="104"/>
      <c r="AU92" s="104"/>
      <c r="AV92" s="104"/>
      <c r="AW92" s="104"/>
      <c r="AX92" s="104"/>
      <c r="AY92" s="104"/>
      <c r="AZ92" s="104"/>
      <c r="BA92" s="104"/>
      <c r="BB92" s="104"/>
      <c r="BC92" s="104"/>
      <c r="BD92" s="104"/>
      <c r="BE92" s="147"/>
      <c r="BF92" s="146"/>
      <c r="BG92" s="542">
        <v>32</v>
      </c>
      <c r="BH92" s="734"/>
      <c r="BI92" s="673"/>
      <c r="BJ92"/>
      <c r="BK92" s="104"/>
      <c r="BL92" s="104"/>
      <c r="BM92" s="104"/>
      <c r="BN92" s="104"/>
      <c r="BO92" s="104"/>
      <c r="BP92" s="104"/>
      <c r="BQ92" s="104"/>
      <c r="BR92" s="104"/>
      <c r="BS92" s="104"/>
      <c r="BT92" s="104"/>
      <c r="BU92" s="104"/>
      <c r="BV92" s="104"/>
      <c r="BW92" s="104"/>
      <c r="BX92" s="147"/>
    </row>
    <row r="93" spans="1:76">
      <c r="A93" s="146"/>
      <c r="B93" s="542">
        <v>33</v>
      </c>
      <c r="C93" s="734"/>
      <c r="D93" s="673"/>
      <c r="E93"/>
      <c r="F93" s="104"/>
      <c r="G93" s="104"/>
      <c r="H93" s="104"/>
      <c r="I93" s="104"/>
      <c r="J93" s="104"/>
      <c r="K93" s="104"/>
      <c r="L93" s="104"/>
      <c r="M93" s="104"/>
      <c r="N93" s="104"/>
      <c r="O93" s="104"/>
      <c r="P93" s="104"/>
      <c r="Q93" s="104"/>
      <c r="R93" s="104"/>
      <c r="S93" s="147"/>
      <c r="T93" s="146"/>
      <c r="U93" s="542">
        <v>33</v>
      </c>
      <c r="V93" s="734"/>
      <c r="W93" s="673"/>
      <c r="X93"/>
      <c r="Y93" s="104"/>
      <c r="Z93" s="104"/>
      <c r="AA93" s="104"/>
      <c r="AB93" s="104"/>
      <c r="AC93" s="104"/>
      <c r="AD93" s="104"/>
      <c r="AE93" s="104"/>
      <c r="AF93" s="104"/>
      <c r="AG93" s="104"/>
      <c r="AH93" s="104"/>
      <c r="AI93" s="104"/>
      <c r="AJ93" s="104"/>
      <c r="AK93" s="104"/>
      <c r="AL93" s="147"/>
      <c r="AM93" s="146"/>
      <c r="AN93" s="542">
        <v>33</v>
      </c>
      <c r="AO93" s="734"/>
      <c r="AP93" s="673"/>
      <c r="AQ93"/>
      <c r="AR93" s="104"/>
      <c r="AS93" s="104"/>
      <c r="AT93" s="104"/>
      <c r="AU93" s="104"/>
      <c r="AV93" s="104"/>
      <c r="AW93" s="104"/>
      <c r="AX93" s="104"/>
      <c r="AY93" s="104"/>
      <c r="AZ93" s="104"/>
      <c r="BA93" s="104"/>
      <c r="BB93" s="104"/>
      <c r="BC93" s="104"/>
      <c r="BD93" s="104"/>
      <c r="BE93" s="147"/>
      <c r="BF93" s="146"/>
      <c r="BG93" s="542">
        <v>33</v>
      </c>
      <c r="BH93" s="734"/>
      <c r="BI93" s="673"/>
      <c r="BJ93"/>
      <c r="BK93" s="104"/>
      <c r="BL93" s="104"/>
      <c r="BM93" s="104"/>
      <c r="BN93" s="104"/>
      <c r="BO93" s="104"/>
      <c r="BP93" s="104"/>
      <c r="BQ93" s="104"/>
      <c r="BR93" s="104"/>
      <c r="BS93" s="104"/>
      <c r="BT93" s="104"/>
      <c r="BU93" s="104"/>
      <c r="BV93" s="104"/>
      <c r="BW93" s="104"/>
      <c r="BX93" s="147"/>
    </row>
    <row r="94" spans="1:76">
      <c r="A94" s="146"/>
      <c r="B94" s="542">
        <v>34</v>
      </c>
      <c r="C94" s="734"/>
      <c r="D94" s="673"/>
      <c r="E94"/>
      <c r="F94" s="104"/>
      <c r="G94" s="104"/>
      <c r="H94" s="104"/>
      <c r="I94" s="104"/>
      <c r="J94" s="104"/>
      <c r="K94" s="104"/>
      <c r="L94" s="104"/>
      <c r="M94" s="104"/>
      <c r="N94" s="104"/>
      <c r="O94" s="104"/>
      <c r="P94" s="104"/>
      <c r="Q94" s="104"/>
      <c r="R94" s="104"/>
      <c r="S94" s="147"/>
      <c r="T94" s="146"/>
      <c r="U94" s="542">
        <v>34</v>
      </c>
      <c r="V94" s="734"/>
      <c r="W94" s="673"/>
      <c r="X94"/>
      <c r="Y94" s="104"/>
      <c r="Z94" s="104"/>
      <c r="AA94" s="104"/>
      <c r="AB94" s="104"/>
      <c r="AC94" s="104"/>
      <c r="AD94" s="104"/>
      <c r="AE94" s="104"/>
      <c r="AF94" s="104"/>
      <c r="AG94" s="104"/>
      <c r="AH94" s="104"/>
      <c r="AI94" s="104"/>
      <c r="AJ94" s="104"/>
      <c r="AK94" s="104"/>
      <c r="AL94" s="147"/>
      <c r="AM94" s="146"/>
      <c r="AN94" s="542">
        <v>34</v>
      </c>
      <c r="AO94" s="734"/>
      <c r="AP94" s="673"/>
      <c r="AQ94"/>
      <c r="AR94" s="104"/>
      <c r="AS94" s="104"/>
      <c r="AT94" s="104"/>
      <c r="AU94" s="104"/>
      <c r="AV94" s="104"/>
      <c r="AW94" s="104"/>
      <c r="AX94" s="104"/>
      <c r="AY94" s="104"/>
      <c r="AZ94" s="104"/>
      <c r="BA94" s="104"/>
      <c r="BB94" s="104"/>
      <c r="BC94" s="104"/>
      <c r="BD94" s="104"/>
      <c r="BE94" s="147"/>
      <c r="BF94" s="146"/>
      <c r="BG94" s="542">
        <v>34</v>
      </c>
      <c r="BH94" s="734"/>
      <c r="BI94" s="673"/>
      <c r="BJ94"/>
      <c r="BK94" s="104"/>
      <c r="BL94" s="104"/>
      <c r="BM94" s="104"/>
      <c r="BN94" s="104"/>
      <c r="BO94" s="104"/>
      <c r="BP94" s="104"/>
      <c r="BQ94" s="104"/>
      <c r="BR94" s="104"/>
      <c r="BS94" s="104"/>
      <c r="BT94" s="104"/>
      <c r="BU94" s="104"/>
      <c r="BV94" s="104"/>
      <c r="BW94" s="104"/>
      <c r="BX94" s="147"/>
    </row>
    <row r="95" spans="1:76">
      <c r="A95" s="146"/>
      <c r="B95" s="542">
        <v>35</v>
      </c>
      <c r="C95" s="734"/>
      <c r="D95" s="673"/>
      <c r="E95"/>
      <c r="F95" s="104"/>
      <c r="G95" s="104"/>
      <c r="H95" s="104"/>
      <c r="I95" s="104"/>
      <c r="J95" s="104"/>
      <c r="K95" s="104"/>
      <c r="L95" s="104"/>
      <c r="M95" s="104"/>
      <c r="N95" s="104"/>
      <c r="O95" s="104"/>
      <c r="P95" s="104"/>
      <c r="Q95" s="104"/>
      <c r="R95" s="104"/>
      <c r="S95" s="147"/>
      <c r="T95" s="146"/>
      <c r="U95" s="542">
        <v>35</v>
      </c>
      <c r="V95" s="734"/>
      <c r="W95" s="673"/>
      <c r="X95"/>
      <c r="Y95" s="104"/>
      <c r="Z95" s="104"/>
      <c r="AA95" s="104"/>
      <c r="AB95" s="104"/>
      <c r="AC95" s="104"/>
      <c r="AD95" s="104"/>
      <c r="AE95" s="104"/>
      <c r="AF95" s="104"/>
      <c r="AG95" s="104"/>
      <c r="AH95" s="104"/>
      <c r="AI95" s="104"/>
      <c r="AJ95" s="104"/>
      <c r="AK95" s="104"/>
      <c r="AL95" s="147"/>
      <c r="AM95" s="146"/>
      <c r="AN95" s="542">
        <v>35</v>
      </c>
      <c r="AO95" s="734"/>
      <c r="AP95" s="673"/>
      <c r="AQ95"/>
      <c r="AR95" s="104"/>
      <c r="AS95" s="104"/>
      <c r="AT95" s="104"/>
      <c r="AU95" s="104"/>
      <c r="AV95" s="104"/>
      <c r="AW95" s="104"/>
      <c r="AX95" s="104"/>
      <c r="AY95" s="104"/>
      <c r="AZ95" s="104"/>
      <c r="BA95" s="104"/>
      <c r="BB95" s="104"/>
      <c r="BC95" s="104"/>
      <c r="BD95" s="104"/>
      <c r="BE95" s="147"/>
      <c r="BF95" s="146"/>
      <c r="BG95" s="542">
        <v>35</v>
      </c>
      <c r="BH95" s="734"/>
      <c r="BI95" s="673"/>
      <c r="BJ95"/>
      <c r="BK95" s="104"/>
      <c r="BL95" s="104"/>
      <c r="BM95" s="104"/>
      <c r="BN95" s="104"/>
      <c r="BO95" s="104"/>
      <c r="BP95" s="104"/>
      <c r="BQ95" s="104"/>
      <c r="BR95" s="104"/>
      <c r="BS95" s="104"/>
      <c r="BT95" s="104"/>
      <c r="BU95" s="104"/>
      <c r="BV95" s="104"/>
      <c r="BW95" s="104"/>
      <c r="BX95" s="147"/>
    </row>
    <row r="96" spans="1:76">
      <c r="A96" s="146"/>
      <c r="B96" s="542">
        <v>36</v>
      </c>
      <c r="C96" s="734"/>
      <c r="D96" s="673"/>
      <c r="E96"/>
      <c r="F96" s="104"/>
      <c r="G96" s="104"/>
      <c r="H96" s="104"/>
      <c r="I96" s="104"/>
      <c r="J96" s="104"/>
      <c r="K96" s="104"/>
      <c r="L96" s="104"/>
      <c r="M96" s="104"/>
      <c r="N96" s="104"/>
      <c r="O96" s="104"/>
      <c r="P96" s="104"/>
      <c r="Q96" s="104"/>
      <c r="R96" s="104"/>
      <c r="S96" s="147"/>
      <c r="T96" s="146"/>
      <c r="U96" s="542">
        <v>36</v>
      </c>
      <c r="V96" s="734"/>
      <c r="W96" s="673"/>
      <c r="X96"/>
      <c r="Y96" s="104"/>
      <c r="Z96" s="104"/>
      <c r="AA96" s="104"/>
      <c r="AB96" s="104"/>
      <c r="AC96" s="104"/>
      <c r="AD96" s="104"/>
      <c r="AE96" s="104"/>
      <c r="AF96" s="104"/>
      <c r="AG96" s="104"/>
      <c r="AH96" s="104"/>
      <c r="AI96" s="104"/>
      <c r="AJ96" s="104"/>
      <c r="AK96" s="104"/>
      <c r="AL96" s="147"/>
      <c r="AM96" s="146"/>
      <c r="AN96" s="542">
        <v>36</v>
      </c>
      <c r="AO96" s="734"/>
      <c r="AP96" s="673"/>
      <c r="AQ96"/>
      <c r="AR96" s="104"/>
      <c r="AS96" s="104"/>
      <c r="AT96" s="104"/>
      <c r="AU96" s="104"/>
      <c r="AV96" s="104"/>
      <c r="AW96" s="104"/>
      <c r="AX96" s="104"/>
      <c r="AY96" s="104"/>
      <c r="AZ96" s="104"/>
      <c r="BA96" s="104"/>
      <c r="BB96" s="104"/>
      <c r="BC96" s="104"/>
      <c r="BD96" s="104"/>
      <c r="BE96" s="147"/>
      <c r="BF96" s="146"/>
      <c r="BG96" s="542">
        <v>36</v>
      </c>
      <c r="BH96" s="734"/>
      <c r="BI96" s="673"/>
      <c r="BJ96"/>
      <c r="BK96" s="104"/>
      <c r="BL96" s="104"/>
      <c r="BM96" s="104"/>
      <c r="BN96" s="104"/>
      <c r="BO96" s="104"/>
      <c r="BP96" s="104"/>
      <c r="BQ96" s="104"/>
      <c r="BR96" s="104"/>
      <c r="BS96" s="104"/>
      <c r="BT96" s="104"/>
      <c r="BU96" s="104"/>
      <c r="BV96" s="104"/>
      <c r="BW96" s="104"/>
      <c r="BX96" s="147"/>
    </row>
    <row r="97" spans="1:76">
      <c r="A97" s="146"/>
      <c r="B97" s="542">
        <v>37</v>
      </c>
      <c r="C97" s="734"/>
      <c r="D97" s="673"/>
      <c r="E97"/>
      <c r="F97" s="104"/>
      <c r="G97" s="104"/>
      <c r="H97" s="104"/>
      <c r="I97" s="104"/>
      <c r="J97" s="104"/>
      <c r="K97" s="104"/>
      <c r="L97" s="104"/>
      <c r="M97" s="104"/>
      <c r="N97" s="104"/>
      <c r="O97" s="104"/>
      <c r="P97" s="104"/>
      <c r="Q97" s="104"/>
      <c r="R97" s="104"/>
      <c r="S97" s="147"/>
      <c r="T97" s="146"/>
      <c r="U97" s="542">
        <v>37</v>
      </c>
      <c r="V97" s="734"/>
      <c r="W97" s="673"/>
      <c r="X97"/>
      <c r="Y97" s="104"/>
      <c r="Z97" s="104"/>
      <c r="AA97" s="104"/>
      <c r="AB97" s="104"/>
      <c r="AC97" s="104"/>
      <c r="AD97" s="104"/>
      <c r="AE97" s="104"/>
      <c r="AF97" s="104"/>
      <c r="AG97" s="104"/>
      <c r="AH97" s="104"/>
      <c r="AI97" s="104"/>
      <c r="AJ97" s="104"/>
      <c r="AK97" s="104"/>
      <c r="AL97" s="147"/>
      <c r="AM97" s="146"/>
      <c r="AN97" s="542">
        <v>37</v>
      </c>
      <c r="AO97" s="734"/>
      <c r="AP97" s="673"/>
      <c r="AQ97"/>
      <c r="AR97" s="104"/>
      <c r="AS97" s="104"/>
      <c r="AT97" s="104"/>
      <c r="AU97" s="104"/>
      <c r="AV97" s="104"/>
      <c r="AW97" s="104"/>
      <c r="AX97" s="104"/>
      <c r="AY97" s="104"/>
      <c r="AZ97" s="104"/>
      <c r="BA97" s="104"/>
      <c r="BB97" s="104"/>
      <c r="BC97" s="104"/>
      <c r="BD97" s="104"/>
      <c r="BE97" s="147"/>
      <c r="BF97" s="146"/>
      <c r="BG97" s="542">
        <v>37</v>
      </c>
      <c r="BH97" s="734"/>
      <c r="BI97" s="673"/>
      <c r="BJ97"/>
      <c r="BK97" s="104"/>
      <c r="BL97" s="104"/>
      <c r="BM97" s="104"/>
      <c r="BN97" s="104"/>
      <c r="BO97" s="104"/>
      <c r="BP97" s="104"/>
      <c r="BQ97" s="104"/>
      <c r="BR97" s="104"/>
      <c r="BS97" s="104"/>
      <c r="BT97" s="104"/>
      <c r="BU97" s="104"/>
      <c r="BV97" s="104"/>
      <c r="BW97" s="104"/>
      <c r="BX97" s="147"/>
    </row>
    <row r="98" spans="1:76">
      <c r="A98" s="146"/>
      <c r="B98" s="542">
        <v>38</v>
      </c>
      <c r="C98" s="734"/>
      <c r="D98" s="673"/>
      <c r="E98"/>
      <c r="F98" s="104"/>
      <c r="G98" s="104"/>
      <c r="H98" s="104"/>
      <c r="I98" s="104"/>
      <c r="J98" s="104"/>
      <c r="K98" s="104"/>
      <c r="L98" s="104"/>
      <c r="M98" s="104"/>
      <c r="N98" s="104"/>
      <c r="O98" s="104"/>
      <c r="P98" s="104"/>
      <c r="Q98" s="104"/>
      <c r="R98" s="104"/>
      <c r="S98" s="147"/>
      <c r="T98" s="146"/>
      <c r="U98" s="542">
        <v>38</v>
      </c>
      <c r="V98" s="734"/>
      <c r="W98" s="673"/>
      <c r="X98"/>
      <c r="Y98" s="104"/>
      <c r="Z98" s="104"/>
      <c r="AA98" s="104"/>
      <c r="AB98" s="104"/>
      <c r="AC98" s="104"/>
      <c r="AD98" s="104"/>
      <c r="AE98" s="104"/>
      <c r="AF98" s="104"/>
      <c r="AG98" s="104"/>
      <c r="AH98" s="104"/>
      <c r="AI98" s="104"/>
      <c r="AJ98" s="104"/>
      <c r="AK98" s="104"/>
      <c r="AL98" s="147"/>
      <c r="AM98" s="146"/>
      <c r="AN98" s="542">
        <v>38</v>
      </c>
      <c r="AO98" s="734"/>
      <c r="AP98" s="673"/>
      <c r="AQ98"/>
      <c r="AR98" s="104"/>
      <c r="AS98" s="104"/>
      <c r="AT98" s="104"/>
      <c r="AU98" s="104"/>
      <c r="AV98" s="104"/>
      <c r="AW98" s="104"/>
      <c r="AX98" s="104"/>
      <c r="AY98" s="104"/>
      <c r="AZ98" s="104"/>
      <c r="BA98" s="104"/>
      <c r="BB98" s="104"/>
      <c r="BC98" s="104"/>
      <c r="BD98" s="104"/>
      <c r="BE98" s="147"/>
      <c r="BF98" s="146"/>
      <c r="BG98" s="542">
        <v>38</v>
      </c>
      <c r="BH98" s="734"/>
      <c r="BI98" s="673"/>
      <c r="BJ98"/>
      <c r="BK98" s="104"/>
      <c r="BL98" s="104"/>
      <c r="BM98" s="104"/>
      <c r="BN98" s="104"/>
      <c r="BO98" s="104"/>
      <c r="BP98" s="104"/>
      <c r="BQ98" s="104"/>
      <c r="BR98" s="104"/>
      <c r="BS98" s="104"/>
      <c r="BT98" s="104"/>
      <c r="BU98" s="104"/>
      <c r="BV98" s="104"/>
      <c r="BW98" s="104"/>
      <c r="BX98" s="147"/>
    </row>
    <row r="99" spans="1:76">
      <c r="A99" s="146"/>
      <c r="B99" s="542">
        <v>39</v>
      </c>
      <c r="C99" s="734"/>
      <c r="D99" s="673"/>
      <c r="E99"/>
      <c r="F99" s="104"/>
      <c r="G99" s="104"/>
      <c r="H99" s="104"/>
      <c r="I99" s="104"/>
      <c r="J99" s="104"/>
      <c r="K99" s="104"/>
      <c r="L99" s="104"/>
      <c r="M99" s="104"/>
      <c r="N99" s="104"/>
      <c r="O99" s="104"/>
      <c r="P99" s="104"/>
      <c r="Q99" s="104"/>
      <c r="R99" s="104"/>
      <c r="S99" s="147"/>
      <c r="T99" s="146"/>
      <c r="U99" s="542">
        <v>39</v>
      </c>
      <c r="V99" s="734"/>
      <c r="W99" s="673"/>
      <c r="X99"/>
      <c r="Y99" s="104"/>
      <c r="Z99" s="104"/>
      <c r="AA99" s="104"/>
      <c r="AB99" s="104"/>
      <c r="AC99" s="104"/>
      <c r="AD99" s="104"/>
      <c r="AE99" s="104"/>
      <c r="AF99" s="104"/>
      <c r="AG99" s="104"/>
      <c r="AH99" s="104"/>
      <c r="AI99" s="104"/>
      <c r="AJ99" s="104"/>
      <c r="AK99" s="104"/>
      <c r="AL99" s="147"/>
      <c r="AM99" s="146"/>
      <c r="AN99" s="542">
        <v>39</v>
      </c>
      <c r="AO99" s="734"/>
      <c r="AP99" s="673"/>
      <c r="AQ99"/>
      <c r="AR99" s="104"/>
      <c r="AS99" s="104"/>
      <c r="AT99" s="104"/>
      <c r="AU99" s="104"/>
      <c r="AV99" s="104"/>
      <c r="AW99" s="104"/>
      <c r="AX99" s="104"/>
      <c r="AY99" s="104"/>
      <c r="AZ99" s="104"/>
      <c r="BA99" s="104"/>
      <c r="BB99" s="104"/>
      <c r="BC99" s="104"/>
      <c r="BD99" s="104"/>
      <c r="BE99" s="147"/>
      <c r="BF99" s="146"/>
      <c r="BG99" s="542">
        <v>39</v>
      </c>
      <c r="BH99" s="734"/>
      <c r="BI99" s="673"/>
      <c r="BJ99"/>
      <c r="BK99" s="104"/>
      <c r="BL99" s="104"/>
      <c r="BM99" s="104"/>
      <c r="BN99" s="104"/>
      <c r="BO99" s="104"/>
      <c r="BP99" s="104"/>
      <c r="BQ99" s="104"/>
      <c r="BR99" s="104"/>
      <c r="BS99" s="104"/>
      <c r="BT99" s="104"/>
      <c r="BU99" s="104"/>
      <c r="BV99" s="104"/>
      <c r="BW99" s="104"/>
      <c r="BX99" s="147"/>
    </row>
    <row r="100" spans="1:76">
      <c r="A100" s="146"/>
      <c r="B100" s="542">
        <v>40</v>
      </c>
      <c r="C100" s="734"/>
      <c r="D100" s="673"/>
      <c r="E100"/>
      <c r="F100" s="104"/>
      <c r="G100" s="104"/>
      <c r="H100" s="104"/>
      <c r="I100" s="104"/>
      <c r="J100" s="104"/>
      <c r="K100" s="104"/>
      <c r="L100" s="104"/>
      <c r="M100" s="104"/>
      <c r="N100" s="104"/>
      <c r="O100" s="104"/>
      <c r="P100" s="104"/>
      <c r="Q100" s="104"/>
      <c r="R100" s="104"/>
      <c r="S100" s="147"/>
      <c r="T100" s="146"/>
      <c r="U100" s="542">
        <v>40</v>
      </c>
      <c r="V100" s="734"/>
      <c r="W100" s="673"/>
      <c r="X100"/>
      <c r="Y100" s="104"/>
      <c r="Z100" s="104"/>
      <c r="AA100" s="104"/>
      <c r="AB100" s="104"/>
      <c r="AC100" s="104"/>
      <c r="AD100" s="104"/>
      <c r="AE100" s="104"/>
      <c r="AF100" s="104"/>
      <c r="AG100" s="104"/>
      <c r="AH100" s="104"/>
      <c r="AI100" s="104"/>
      <c r="AJ100" s="104"/>
      <c r="AK100" s="104"/>
      <c r="AL100" s="147"/>
      <c r="AM100" s="146"/>
      <c r="AN100" s="542">
        <v>40</v>
      </c>
      <c r="AO100" s="734"/>
      <c r="AP100" s="673"/>
      <c r="AQ100"/>
      <c r="AR100" s="104"/>
      <c r="AS100" s="104"/>
      <c r="AT100" s="104"/>
      <c r="AU100" s="104"/>
      <c r="AV100" s="104"/>
      <c r="AW100" s="104"/>
      <c r="AX100" s="104"/>
      <c r="AY100" s="104"/>
      <c r="AZ100" s="104"/>
      <c r="BA100" s="104"/>
      <c r="BB100" s="104"/>
      <c r="BC100" s="104"/>
      <c r="BD100" s="104"/>
      <c r="BE100" s="147"/>
      <c r="BF100" s="146"/>
      <c r="BG100" s="542">
        <v>40</v>
      </c>
      <c r="BH100" s="734"/>
      <c r="BI100" s="673"/>
      <c r="BJ100"/>
      <c r="BK100" s="104"/>
      <c r="BL100" s="104"/>
      <c r="BM100" s="104"/>
      <c r="BN100" s="104"/>
      <c r="BO100" s="104"/>
      <c r="BP100" s="104"/>
      <c r="BQ100" s="104"/>
      <c r="BR100" s="104"/>
      <c r="BS100" s="104"/>
      <c r="BT100" s="104"/>
      <c r="BU100" s="104"/>
      <c r="BV100" s="104"/>
      <c r="BW100" s="104"/>
      <c r="BX100" s="147"/>
    </row>
    <row r="101" spans="1:76">
      <c r="A101" s="146"/>
      <c r="B101" s="542">
        <v>41</v>
      </c>
      <c r="C101" s="734"/>
      <c r="D101" s="673"/>
      <c r="E101"/>
      <c r="F101" s="104"/>
      <c r="G101" s="104"/>
      <c r="H101" s="104"/>
      <c r="I101" s="104"/>
      <c r="J101" s="104"/>
      <c r="K101" s="104"/>
      <c r="L101" s="104"/>
      <c r="M101" s="104"/>
      <c r="N101" s="104"/>
      <c r="O101" s="104"/>
      <c r="P101" s="104"/>
      <c r="Q101" s="104"/>
      <c r="R101" s="104"/>
      <c r="S101" s="147"/>
      <c r="T101" s="146"/>
      <c r="U101" s="542">
        <v>41</v>
      </c>
      <c r="V101" s="734"/>
      <c r="W101" s="673"/>
      <c r="X101"/>
      <c r="Y101" s="104"/>
      <c r="Z101" s="104"/>
      <c r="AA101" s="104"/>
      <c r="AB101" s="104"/>
      <c r="AC101" s="104"/>
      <c r="AD101" s="104"/>
      <c r="AE101" s="104"/>
      <c r="AF101" s="104"/>
      <c r="AG101" s="104"/>
      <c r="AH101" s="104"/>
      <c r="AI101" s="104"/>
      <c r="AJ101" s="104"/>
      <c r="AK101" s="104"/>
      <c r="AL101" s="147"/>
      <c r="AM101" s="146"/>
      <c r="AN101" s="542">
        <v>41</v>
      </c>
      <c r="AO101" s="734"/>
      <c r="AP101" s="673"/>
      <c r="AQ101"/>
      <c r="AR101" s="104"/>
      <c r="AS101" s="104"/>
      <c r="AT101" s="104"/>
      <c r="AU101" s="104"/>
      <c r="AV101" s="104"/>
      <c r="AW101" s="104"/>
      <c r="AX101" s="104"/>
      <c r="AY101" s="104"/>
      <c r="AZ101" s="104"/>
      <c r="BA101" s="104"/>
      <c r="BB101" s="104"/>
      <c r="BC101" s="104"/>
      <c r="BD101" s="104"/>
      <c r="BE101" s="147"/>
      <c r="BF101" s="146"/>
      <c r="BG101" s="542">
        <v>41</v>
      </c>
      <c r="BH101" s="734"/>
      <c r="BI101" s="673"/>
      <c r="BJ101"/>
      <c r="BK101" s="104"/>
      <c r="BL101" s="104"/>
      <c r="BM101" s="104"/>
      <c r="BN101" s="104"/>
      <c r="BO101" s="104"/>
      <c r="BP101" s="104"/>
      <c r="BQ101" s="104"/>
      <c r="BR101" s="104"/>
      <c r="BS101" s="104"/>
      <c r="BT101" s="104"/>
      <c r="BU101" s="104"/>
      <c r="BV101" s="104"/>
      <c r="BW101" s="104"/>
      <c r="BX101" s="147"/>
    </row>
    <row r="102" spans="1:76">
      <c r="A102" s="146"/>
      <c r="B102" s="542">
        <v>42</v>
      </c>
      <c r="C102" s="734"/>
      <c r="D102" s="673"/>
      <c r="E102"/>
      <c r="F102" s="104"/>
      <c r="G102" s="104"/>
      <c r="H102" s="104"/>
      <c r="I102" s="104"/>
      <c r="J102" s="104"/>
      <c r="K102" s="104"/>
      <c r="L102" s="104"/>
      <c r="M102" s="104"/>
      <c r="N102" s="104"/>
      <c r="O102" s="104"/>
      <c r="P102" s="104"/>
      <c r="Q102" s="104"/>
      <c r="R102" s="104"/>
      <c r="S102" s="147"/>
      <c r="T102" s="146"/>
      <c r="U102" s="542">
        <v>42</v>
      </c>
      <c r="V102" s="734"/>
      <c r="W102" s="673"/>
      <c r="X102"/>
      <c r="Y102" s="104"/>
      <c r="Z102" s="104"/>
      <c r="AA102" s="104"/>
      <c r="AB102" s="104"/>
      <c r="AC102" s="104"/>
      <c r="AD102" s="104"/>
      <c r="AE102" s="104"/>
      <c r="AF102" s="104"/>
      <c r="AG102" s="104"/>
      <c r="AH102" s="104"/>
      <c r="AI102" s="104"/>
      <c r="AJ102" s="104"/>
      <c r="AK102" s="104"/>
      <c r="AL102" s="147"/>
      <c r="AM102" s="146"/>
      <c r="AN102" s="542">
        <v>42</v>
      </c>
      <c r="AO102" s="734"/>
      <c r="AP102" s="673"/>
      <c r="AQ102"/>
      <c r="AR102" s="104"/>
      <c r="AS102" s="104"/>
      <c r="AT102" s="104"/>
      <c r="AU102" s="104"/>
      <c r="AV102" s="104"/>
      <c r="AW102" s="104"/>
      <c r="AX102" s="104"/>
      <c r="AY102" s="104"/>
      <c r="AZ102" s="104"/>
      <c r="BA102" s="104"/>
      <c r="BB102" s="104"/>
      <c r="BC102" s="104"/>
      <c r="BD102" s="104"/>
      <c r="BE102" s="147"/>
      <c r="BF102" s="146"/>
      <c r="BG102" s="542">
        <v>42</v>
      </c>
      <c r="BH102" s="734"/>
      <c r="BI102" s="673"/>
      <c r="BJ102"/>
      <c r="BK102" s="104"/>
      <c r="BL102" s="104"/>
      <c r="BM102" s="104"/>
      <c r="BN102" s="104"/>
      <c r="BO102" s="104"/>
      <c r="BP102" s="104"/>
      <c r="BQ102" s="104"/>
      <c r="BR102" s="104"/>
      <c r="BS102" s="104"/>
      <c r="BT102" s="104"/>
      <c r="BU102" s="104"/>
      <c r="BV102" s="104"/>
      <c r="BW102" s="104"/>
      <c r="BX102" s="147"/>
    </row>
    <row r="103" spans="1:76">
      <c r="A103" s="146"/>
      <c r="B103" s="542">
        <v>43</v>
      </c>
      <c r="C103" s="734"/>
      <c r="D103" s="673"/>
      <c r="E103"/>
      <c r="F103" s="104"/>
      <c r="G103" s="104"/>
      <c r="H103" s="104"/>
      <c r="I103" s="104"/>
      <c r="J103" s="104"/>
      <c r="K103" s="104"/>
      <c r="L103" s="104"/>
      <c r="M103" s="104"/>
      <c r="N103" s="104"/>
      <c r="O103" s="104"/>
      <c r="P103" s="104"/>
      <c r="Q103" s="104"/>
      <c r="R103" s="104"/>
      <c r="S103" s="147"/>
      <c r="T103" s="146"/>
      <c r="U103" s="542">
        <v>43</v>
      </c>
      <c r="V103" s="734"/>
      <c r="W103" s="673"/>
      <c r="X103"/>
      <c r="Y103" s="104"/>
      <c r="Z103" s="104"/>
      <c r="AA103" s="104"/>
      <c r="AB103" s="104"/>
      <c r="AC103" s="104"/>
      <c r="AD103" s="104"/>
      <c r="AE103" s="104"/>
      <c r="AF103" s="104"/>
      <c r="AG103" s="104"/>
      <c r="AH103" s="104"/>
      <c r="AI103" s="104"/>
      <c r="AJ103" s="104"/>
      <c r="AK103" s="104"/>
      <c r="AL103" s="147"/>
      <c r="AM103" s="146"/>
      <c r="AN103" s="542">
        <v>43</v>
      </c>
      <c r="AO103" s="734"/>
      <c r="AP103" s="673"/>
      <c r="AQ103"/>
      <c r="AR103" s="104"/>
      <c r="AS103" s="104"/>
      <c r="AT103" s="104"/>
      <c r="AU103" s="104"/>
      <c r="AV103" s="104"/>
      <c r="AW103" s="104"/>
      <c r="AX103" s="104"/>
      <c r="AY103" s="104"/>
      <c r="AZ103" s="104"/>
      <c r="BA103" s="104"/>
      <c r="BB103" s="104"/>
      <c r="BC103" s="104"/>
      <c r="BD103" s="104"/>
      <c r="BE103" s="147"/>
      <c r="BF103" s="146"/>
      <c r="BG103" s="542">
        <v>43</v>
      </c>
      <c r="BH103" s="734"/>
      <c r="BI103" s="673"/>
      <c r="BJ103"/>
      <c r="BK103" s="104"/>
      <c r="BL103" s="104"/>
      <c r="BM103" s="104"/>
      <c r="BN103" s="104"/>
      <c r="BO103" s="104"/>
      <c r="BP103" s="104"/>
      <c r="BQ103" s="104"/>
      <c r="BR103" s="104"/>
      <c r="BS103" s="104"/>
      <c r="BT103" s="104"/>
      <c r="BU103" s="104"/>
      <c r="BV103" s="104"/>
      <c r="BW103" s="104"/>
      <c r="BX103" s="147"/>
    </row>
    <row r="104" spans="1:76">
      <c r="A104" s="146"/>
      <c r="B104" s="542">
        <v>44</v>
      </c>
      <c r="C104" s="734"/>
      <c r="D104" s="673"/>
      <c r="E104"/>
      <c r="F104" s="104"/>
      <c r="G104" s="104"/>
      <c r="H104" s="104"/>
      <c r="I104" s="104"/>
      <c r="J104" s="104"/>
      <c r="K104" s="104"/>
      <c r="L104" s="104"/>
      <c r="M104" s="104"/>
      <c r="N104" s="104"/>
      <c r="O104" s="104"/>
      <c r="P104" s="104"/>
      <c r="Q104" s="104"/>
      <c r="R104" s="104"/>
      <c r="S104" s="147"/>
      <c r="T104" s="146"/>
      <c r="U104" s="542">
        <v>44</v>
      </c>
      <c r="V104" s="734"/>
      <c r="W104" s="673"/>
      <c r="X104"/>
      <c r="Y104" s="104"/>
      <c r="Z104" s="104"/>
      <c r="AA104" s="104"/>
      <c r="AB104" s="104"/>
      <c r="AC104" s="104"/>
      <c r="AD104" s="104"/>
      <c r="AE104" s="104"/>
      <c r="AF104" s="104"/>
      <c r="AG104" s="104"/>
      <c r="AH104" s="104"/>
      <c r="AI104" s="104"/>
      <c r="AJ104" s="104"/>
      <c r="AK104" s="104"/>
      <c r="AL104" s="147"/>
      <c r="AM104" s="146"/>
      <c r="AN104" s="542">
        <v>44</v>
      </c>
      <c r="AO104" s="734"/>
      <c r="AP104" s="673"/>
      <c r="AQ104"/>
      <c r="AR104" s="104"/>
      <c r="AS104" s="104"/>
      <c r="AT104" s="104"/>
      <c r="AU104" s="104"/>
      <c r="AV104" s="104"/>
      <c r="AW104" s="104"/>
      <c r="AX104" s="104"/>
      <c r="AY104" s="104"/>
      <c r="AZ104" s="104"/>
      <c r="BA104" s="104"/>
      <c r="BB104" s="104"/>
      <c r="BC104" s="104"/>
      <c r="BD104" s="104"/>
      <c r="BE104" s="147"/>
      <c r="BF104" s="146"/>
      <c r="BG104" s="542">
        <v>44</v>
      </c>
      <c r="BH104" s="734"/>
      <c r="BI104" s="673"/>
      <c r="BJ104"/>
      <c r="BK104" s="104"/>
      <c r="BL104" s="104"/>
      <c r="BM104" s="104"/>
      <c r="BN104" s="104"/>
      <c r="BO104" s="104"/>
      <c r="BP104" s="104"/>
      <c r="BQ104" s="104"/>
      <c r="BR104" s="104"/>
      <c r="BS104" s="104"/>
      <c r="BT104" s="104"/>
      <c r="BU104" s="104"/>
      <c r="BV104" s="104"/>
      <c r="BW104" s="104"/>
      <c r="BX104" s="147"/>
    </row>
    <row r="105" spans="1:76">
      <c r="A105" s="146"/>
      <c r="B105" s="542">
        <v>45</v>
      </c>
      <c r="C105" s="734"/>
      <c r="D105" s="673"/>
      <c r="E105"/>
      <c r="F105" s="104"/>
      <c r="G105" s="104"/>
      <c r="H105" s="104"/>
      <c r="I105" s="104"/>
      <c r="J105" s="104"/>
      <c r="K105" s="104"/>
      <c r="L105" s="104"/>
      <c r="M105" s="104"/>
      <c r="N105" s="104"/>
      <c r="O105" s="104"/>
      <c r="P105" s="104"/>
      <c r="Q105" s="104"/>
      <c r="R105" s="104"/>
      <c r="S105" s="147"/>
      <c r="T105" s="146"/>
      <c r="U105" s="542">
        <v>45</v>
      </c>
      <c r="V105" s="734"/>
      <c r="W105" s="673"/>
      <c r="X105"/>
      <c r="Y105" s="104"/>
      <c r="Z105" s="104"/>
      <c r="AA105" s="104"/>
      <c r="AB105" s="104"/>
      <c r="AC105" s="104"/>
      <c r="AD105" s="104"/>
      <c r="AE105" s="104"/>
      <c r="AF105" s="104"/>
      <c r="AG105" s="104"/>
      <c r="AH105" s="104"/>
      <c r="AI105" s="104"/>
      <c r="AJ105" s="104"/>
      <c r="AK105" s="104"/>
      <c r="AL105" s="147"/>
      <c r="AM105" s="146"/>
      <c r="AN105" s="542">
        <v>45</v>
      </c>
      <c r="AO105" s="734"/>
      <c r="AP105" s="673"/>
      <c r="AQ105"/>
      <c r="AR105" s="104"/>
      <c r="AS105" s="104"/>
      <c r="AT105" s="104"/>
      <c r="AU105" s="104"/>
      <c r="AV105" s="104"/>
      <c r="AW105" s="104"/>
      <c r="AX105" s="104"/>
      <c r="AY105" s="104"/>
      <c r="AZ105" s="104"/>
      <c r="BA105" s="104"/>
      <c r="BB105" s="104"/>
      <c r="BC105" s="104"/>
      <c r="BD105" s="104"/>
      <c r="BE105" s="147"/>
      <c r="BF105" s="146"/>
      <c r="BG105" s="542">
        <v>45</v>
      </c>
      <c r="BH105" s="734"/>
      <c r="BI105" s="673"/>
      <c r="BJ105"/>
      <c r="BK105" s="104"/>
      <c r="BL105" s="104"/>
      <c r="BM105" s="104"/>
      <c r="BN105" s="104"/>
      <c r="BO105" s="104"/>
      <c r="BP105" s="104"/>
      <c r="BQ105" s="104"/>
      <c r="BR105" s="104"/>
      <c r="BS105" s="104"/>
      <c r="BT105" s="104"/>
      <c r="BU105" s="104"/>
      <c r="BV105" s="104"/>
      <c r="BW105" s="104"/>
      <c r="BX105" s="147"/>
    </row>
    <row r="106" spans="1:76">
      <c r="A106" s="146"/>
      <c r="B106" s="542">
        <v>46</v>
      </c>
      <c r="C106" s="734"/>
      <c r="D106" s="673"/>
      <c r="E106"/>
      <c r="F106" s="104"/>
      <c r="G106" s="104"/>
      <c r="H106" s="104"/>
      <c r="I106" s="104"/>
      <c r="J106" s="104"/>
      <c r="K106" s="104"/>
      <c r="L106" s="104"/>
      <c r="M106" s="104"/>
      <c r="N106" s="104"/>
      <c r="O106" s="104"/>
      <c r="P106" s="104"/>
      <c r="Q106" s="104"/>
      <c r="R106" s="104"/>
      <c r="S106" s="147"/>
      <c r="T106" s="146"/>
      <c r="U106" s="542">
        <v>46</v>
      </c>
      <c r="V106" s="734"/>
      <c r="W106" s="673"/>
      <c r="X106"/>
      <c r="Y106" s="104"/>
      <c r="Z106" s="104"/>
      <c r="AA106" s="104"/>
      <c r="AB106" s="104"/>
      <c r="AC106" s="104"/>
      <c r="AD106" s="104"/>
      <c r="AE106" s="104"/>
      <c r="AF106" s="104"/>
      <c r="AG106" s="104"/>
      <c r="AH106" s="104"/>
      <c r="AI106" s="104"/>
      <c r="AJ106" s="104"/>
      <c r="AK106" s="104"/>
      <c r="AL106" s="147"/>
      <c r="AM106" s="146"/>
      <c r="AN106" s="542">
        <v>46</v>
      </c>
      <c r="AO106" s="734"/>
      <c r="AP106" s="673"/>
      <c r="AQ106"/>
      <c r="AR106" s="104"/>
      <c r="AS106" s="104"/>
      <c r="AT106" s="104"/>
      <c r="AU106" s="104"/>
      <c r="AV106" s="104"/>
      <c r="AW106" s="104"/>
      <c r="AX106" s="104"/>
      <c r="AY106" s="104"/>
      <c r="AZ106" s="104"/>
      <c r="BA106" s="104"/>
      <c r="BB106" s="104"/>
      <c r="BC106" s="104"/>
      <c r="BD106" s="104"/>
      <c r="BE106" s="147"/>
      <c r="BF106" s="146"/>
      <c r="BG106" s="542">
        <v>46</v>
      </c>
      <c r="BH106" s="734"/>
      <c r="BI106" s="673"/>
      <c r="BJ106"/>
      <c r="BK106" s="104"/>
      <c r="BL106" s="104"/>
      <c r="BM106" s="104"/>
      <c r="BN106" s="104"/>
      <c r="BO106" s="104"/>
      <c r="BP106" s="104"/>
      <c r="BQ106" s="104"/>
      <c r="BR106" s="104"/>
      <c r="BS106" s="104"/>
      <c r="BT106" s="104"/>
      <c r="BU106" s="104"/>
      <c r="BV106" s="104"/>
      <c r="BW106" s="104"/>
      <c r="BX106" s="147"/>
    </row>
    <row r="107" spans="1:76">
      <c r="A107" s="146"/>
      <c r="B107" s="542">
        <v>47</v>
      </c>
      <c r="C107" s="734"/>
      <c r="D107" s="673"/>
      <c r="E107"/>
      <c r="F107" s="104"/>
      <c r="G107" s="104"/>
      <c r="H107" s="104"/>
      <c r="I107" s="104"/>
      <c r="J107" s="104"/>
      <c r="K107" s="104"/>
      <c r="L107" s="104"/>
      <c r="M107" s="104"/>
      <c r="N107" s="104"/>
      <c r="O107" s="104"/>
      <c r="P107" s="104"/>
      <c r="Q107" s="104"/>
      <c r="R107" s="104"/>
      <c r="S107" s="147"/>
      <c r="T107" s="146"/>
      <c r="U107" s="542">
        <v>47</v>
      </c>
      <c r="V107" s="734"/>
      <c r="W107" s="673"/>
      <c r="X107"/>
      <c r="Y107" s="104"/>
      <c r="Z107" s="104"/>
      <c r="AA107" s="104"/>
      <c r="AB107" s="104"/>
      <c r="AC107" s="104"/>
      <c r="AD107" s="104"/>
      <c r="AE107" s="104"/>
      <c r="AF107" s="104"/>
      <c r="AG107" s="104"/>
      <c r="AH107" s="104"/>
      <c r="AI107" s="104"/>
      <c r="AJ107" s="104"/>
      <c r="AK107" s="104"/>
      <c r="AL107" s="147"/>
      <c r="AM107" s="146"/>
      <c r="AN107" s="542">
        <v>47</v>
      </c>
      <c r="AO107" s="734"/>
      <c r="AP107" s="673"/>
      <c r="AQ107"/>
      <c r="AR107" s="104"/>
      <c r="AS107" s="104"/>
      <c r="AT107" s="104"/>
      <c r="AU107" s="104"/>
      <c r="AV107" s="104"/>
      <c r="AW107" s="104"/>
      <c r="AX107" s="104"/>
      <c r="AY107" s="104"/>
      <c r="AZ107" s="104"/>
      <c r="BA107" s="104"/>
      <c r="BB107" s="104"/>
      <c r="BC107" s="104"/>
      <c r="BD107" s="104"/>
      <c r="BE107" s="147"/>
      <c r="BF107" s="146"/>
      <c r="BG107" s="542">
        <v>47</v>
      </c>
      <c r="BH107" s="734"/>
      <c r="BI107" s="673"/>
      <c r="BJ107"/>
      <c r="BK107" s="104"/>
      <c r="BL107" s="104"/>
      <c r="BM107" s="104"/>
      <c r="BN107" s="104"/>
      <c r="BO107" s="104"/>
      <c r="BP107" s="104"/>
      <c r="BQ107" s="104"/>
      <c r="BR107" s="104"/>
      <c r="BS107" s="104"/>
      <c r="BT107" s="104"/>
      <c r="BU107" s="104"/>
      <c r="BV107" s="104"/>
      <c r="BW107" s="104"/>
      <c r="BX107" s="147"/>
    </row>
    <row r="108" spans="1:76">
      <c r="A108" s="146"/>
      <c r="B108" s="542">
        <v>48</v>
      </c>
      <c r="C108" s="734"/>
      <c r="D108" s="673"/>
      <c r="E108"/>
      <c r="F108" s="104"/>
      <c r="G108" s="104"/>
      <c r="H108" s="104"/>
      <c r="I108" s="104"/>
      <c r="J108" s="104"/>
      <c r="K108" s="104"/>
      <c r="L108" s="104"/>
      <c r="M108" s="104"/>
      <c r="N108" s="104"/>
      <c r="O108" s="104"/>
      <c r="P108" s="104"/>
      <c r="Q108" s="104"/>
      <c r="R108" s="104"/>
      <c r="S108" s="147"/>
      <c r="T108" s="146"/>
      <c r="U108" s="542">
        <v>48</v>
      </c>
      <c r="V108" s="734"/>
      <c r="W108" s="673"/>
      <c r="X108"/>
      <c r="Y108" s="104"/>
      <c r="Z108" s="104"/>
      <c r="AA108" s="104"/>
      <c r="AB108" s="104"/>
      <c r="AC108" s="104"/>
      <c r="AD108" s="104"/>
      <c r="AE108" s="104"/>
      <c r="AF108" s="104"/>
      <c r="AG108" s="104"/>
      <c r="AH108" s="104"/>
      <c r="AI108" s="104"/>
      <c r="AJ108" s="104"/>
      <c r="AK108" s="104"/>
      <c r="AL108" s="147"/>
      <c r="AM108" s="146"/>
      <c r="AN108" s="542">
        <v>48</v>
      </c>
      <c r="AO108" s="734"/>
      <c r="AP108" s="673"/>
      <c r="AQ108"/>
      <c r="AR108" s="104"/>
      <c r="AS108" s="104"/>
      <c r="AT108" s="104"/>
      <c r="AU108" s="104"/>
      <c r="AV108" s="104"/>
      <c r="AW108" s="104"/>
      <c r="AX108" s="104"/>
      <c r="AY108" s="104"/>
      <c r="AZ108" s="104"/>
      <c r="BA108" s="104"/>
      <c r="BB108" s="104"/>
      <c r="BC108" s="104"/>
      <c r="BD108" s="104"/>
      <c r="BE108" s="147"/>
      <c r="BF108" s="146"/>
      <c r="BG108" s="542">
        <v>48</v>
      </c>
      <c r="BH108" s="734"/>
      <c r="BI108" s="673"/>
      <c r="BJ108"/>
      <c r="BK108" s="104"/>
      <c r="BL108" s="104"/>
      <c r="BM108" s="104"/>
      <c r="BN108" s="104"/>
      <c r="BO108" s="104"/>
      <c r="BP108" s="104"/>
      <c r="BQ108" s="104"/>
      <c r="BR108" s="104"/>
      <c r="BS108" s="104"/>
      <c r="BT108" s="104"/>
      <c r="BU108" s="104"/>
      <c r="BV108" s="104"/>
      <c r="BW108" s="104"/>
      <c r="BX108" s="147"/>
    </row>
    <row r="109" spans="1:76">
      <c r="A109" s="146"/>
      <c r="B109" s="542">
        <v>49</v>
      </c>
      <c r="C109" s="734"/>
      <c r="D109" s="673"/>
      <c r="E109"/>
      <c r="F109" s="104"/>
      <c r="G109" s="104"/>
      <c r="H109" s="104"/>
      <c r="I109" s="104"/>
      <c r="J109" s="104"/>
      <c r="K109" s="104"/>
      <c r="L109" s="104"/>
      <c r="M109" s="104"/>
      <c r="N109" s="104"/>
      <c r="O109" s="104"/>
      <c r="P109" s="104"/>
      <c r="Q109" s="104"/>
      <c r="R109" s="104"/>
      <c r="S109" s="147"/>
      <c r="T109" s="146"/>
      <c r="U109" s="542">
        <v>49</v>
      </c>
      <c r="V109" s="734"/>
      <c r="W109" s="673"/>
      <c r="X109"/>
      <c r="Y109" s="104"/>
      <c r="Z109" s="104"/>
      <c r="AA109" s="104"/>
      <c r="AB109" s="104"/>
      <c r="AC109" s="104"/>
      <c r="AD109" s="104"/>
      <c r="AE109" s="104"/>
      <c r="AF109" s="104"/>
      <c r="AG109" s="104"/>
      <c r="AH109" s="104"/>
      <c r="AI109" s="104"/>
      <c r="AJ109" s="104"/>
      <c r="AK109" s="104"/>
      <c r="AL109" s="147"/>
      <c r="AM109" s="146"/>
      <c r="AN109" s="542">
        <v>49</v>
      </c>
      <c r="AO109" s="734"/>
      <c r="AP109" s="673"/>
      <c r="AQ109"/>
      <c r="AR109" s="104"/>
      <c r="AS109" s="104"/>
      <c r="AT109" s="104"/>
      <c r="AU109" s="104"/>
      <c r="AV109" s="104"/>
      <c r="AW109" s="104"/>
      <c r="AX109" s="104"/>
      <c r="AY109" s="104"/>
      <c r="AZ109" s="104"/>
      <c r="BA109" s="104"/>
      <c r="BB109" s="104"/>
      <c r="BC109" s="104"/>
      <c r="BD109" s="104"/>
      <c r="BE109" s="147"/>
      <c r="BF109" s="146"/>
      <c r="BG109" s="542">
        <v>49</v>
      </c>
      <c r="BH109" s="734"/>
      <c r="BI109" s="673"/>
      <c r="BJ109"/>
      <c r="BK109" s="104"/>
      <c r="BL109" s="104"/>
      <c r="BM109" s="104"/>
      <c r="BN109" s="104"/>
      <c r="BO109" s="104"/>
      <c r="BP109" s="104"/>
      <c r="BQ109" s="104"/>
      <c r="BR109" s="104"/>
      <c r="BS109" s="104"/>
      <c r="BT109" s="104"/>
      <c r="BU109" s="104"/>
      <c r="BV109" s="104"/>
      <c r="BW109" s="104"/>
      <c r="BX109" s="147"/>
    </row>
    <row r="110" spans="1:76">
      <c r="A110" s="146"/>
      <c r="B110" s="542">
        <v>50</v>
      </c>
      <c r="C110" s="734"/>
      <c r="D110" s="673"/>
      <c r="E110"/>
      <c r="F110" s="104"/>
      <c r="G110" s="104"/>
      <c r="H110" s="104"/>
      <c r="I110" s="104"/>
      <c r="J110" s="104"/>
      <c r="K110" s="104"/>
      <c r="L110" s="104"/>
      <c r="M110" s="104"/>
      <c r="N110" s="104"/>
      <c r="O110" s="104"/>
      <c r="P110" s="104"/>
      <c r="Q110" s="104"/>
      <c r="R110" s="104"/>
      <c r="S110" s="147"/>
      <c r="T110" s="146"/>
      <c r="U110" s="542">
        <v>50</v>
      </c>
      <c r="V110" s="734"/>
      <c r="W110" s="673"/>
      <c r="X110"/>
      <c r="Y110" s="104"/>
      <c r="Z110" s="104"/>
      <c r="AA110" s="104"/>
      <c r="AB110" s="104"/>
      <c r="AC110" s="104"/>
      <c r="AD110" s="104"/>
      <c r="AE110" s="104"/>
      <c r="AF110" s="104"/>
      <c r="AG110" s="104"/>
      <c r="AH110" s="104"/>
      <c r="AI110" s="104"/>
      <c r="AJ110" s="104"/>
      <c r="AK110" s="104"/>
      <c r="AL110" s="147"/>
      <c r="AM110" s="146"/>
      <c r="AN110" s="542">
        <v>50</v>
      </c>
      <c r="AO110" s="734"/>
      <c r="AP110" s="673"/>
      <c r="AQ110"/>
      <c r="AR110" s="104"/>
      <c r="AS110" s="104"/>
      <c r="AT110" s="104"/>
      <c r="AU110" s="104"/>
      <c r="AV110" s="104"/>
      <c r="AW110" s="104"/>
      <c r="AX110" s="104"/>
      <c r="AY110" s="104"/>
      <c r="AZ110" s="104"/>
      <c r="BA110" s="104"/>
      <c r="BB110" s="104"/>
      <c r="BC110" s="104"/>
      <c r="BD110" s="104"/>
      <c r="BE110" s="147"/>
      <c r="BF110" s="146"/>
      <c r="BG110" s="542">
        <v>50</v>
      </c>
      <c r="BH110" s="734"/>
      <c r="BI110" s="673"/>
      <c r="BJ110"/>
      <c r="BK110" s="104"/>
      <c r="BL110" s="104"/>
      <c r="BM110" s="104"/>
      <c r="BN110" s="104"/>
      <c r="BO110" s="104"/>
      <c r="BP110" s="104"/>
      <c r="BQ110" s="104"/>
      <c r="BR110" s="104"/>
      <c r="BS110" s="104"/>
      <c r="BT110" s="104"/>
      <c r="BU110" s="104"/>
      <c r="BV110" s="104"/>
      <c r="BW110" s="104"/>
      <c r="BX110" s="147"/>
    </row>
    <row r="111" spans="1:76">
      <c r="A111" s="146"/>
      <c r="B111" s="542">
        <v>51</v>
      </c>
      <c r="C111" s="734"/>
      <c r="D111" s="673"/>
      <c r="E111"/>
      <c r="F111" s="104"/>
      <c r="G111" s="104"/>
      <c r="H111" s="104"/>
      <c r="I111" s="104"/>
      <c r="J111" s="104"/>
      <c r="K111" s="104"/>
      <c r="L111" s="104"/>
      <c r="M111" s="104"/>
      <c r="N111" s="104"/>
      <c r="O111" s="104"/>
      <c r="P111" s="104"/>
      <c r="Q111" s="104"/>
      <c r="R111" s="104"/>
      <c r="S111" s="147"/>
      <c r="T111" s="146"/>
      <c r="U111" s="542">
        <v>51</v>
      </c>
      <c r="V111" s="734"/>
      <c r="W111" s="673"/>
      <c r="X111"/>
      <c r="Y111" s="104"/>
      <c r="Z111" s="104"/>
      <c r="AA111" s="104"/>
      <c r="AB111" s="104"/>
      <c r="AC111" s="104"/>
      <c r="AD111" s="104"/>
      <c r="AE111" s="104"/>
      <c r="AF111" s="104"/>
      <c r="AG111" s="104"/>
      <c r="AH111" s="104"/>
      <c r="AI111" s="104"/>
      <c r="AJ111" s="104"/>
      <c r="AK111" s="104"/>
      <c r="AL111" s="147"/>
      <c r="AM111" s="146"/>
      <c r="AN111" s="542">
        <v>51</v>
      </c>
      <c r="AO111" s="734"/>
      <c r="AP111" s="673"/>
      <c r="AQ111"/>
      <c r="AR111" s="104"/>
      <c r="AS111" s="104"/>
      <c r="AT111" s="104"/>
      <c r="AU111" s="104"/>
      <c r="AV111" s="104"/>
      <c r="AW111" s="104"/>
      <c r="AX111" s="104"/>
      <c r="AY111" s="104"/>
      <c r="AZ111" s="104"/>
      <c r="BA111" s="104"/>
      <c r="BB111" s="104"/>
      <c r="BC111" s="104"/>
      <c r="BD111" s="104"/>
      <c r="BE111" s="147"/>
      <c r="BF111" s="146"/>
      <c r="BG111" s="542">
        <v>51</v>
      </c>
      <c r="BH111" s="734"/>
      <c r="BI111" s="673"/>
      <c r="BJ111"/>
      <c r="BK111" s="104"/>
      <c r="BL111" s="104"/>
      <c r="BM111" s="104"/>
      <c r="BN111" s="104"/>
      <c r="BO111" s="104"/>
      <c r="BP111" s="104"/>
      <c r="BQ111" s="104"/>
      <c r="BR111" s="104"/>
      <c r="BS111" s="104"/>
      <c r="BT111" s="104"/>
      <c r="BU111" s="104"/>
      <c r="BV111" s="104"/>
      <c r="BW111" s="104"/>
      <c r="BX111" s="147"/>
    </row>
    <row r="112" spans="1:76">
      <c r="A112" s="146"/>
      <c r="B112" s="542">
        <v>52</v>
      </c>
      <c r="C112" s="734"/>
      <c r="D112" s="673"/>
      <c r="E112"/>
      <c r="F112" s="104"/>
      <c r="G112" s="104"/>
      <c r="H112" s="104"/>
      <c r="I112" s="104"/>
      <c r="J112" s="104"/>
      <c r="K112" s="104"/>
      <c r="L112" s="104"/>
      <c r="M112" s="104"/>
      <c r="N112" s="104"/>
      <c r="O112" s="104"/>
      <c r="P112" s="104"/>
      <c r="Q112" s="104"/>
      <c r="R112" s="104"/>
      <c r="S112" s="147"/>
      <c r="T112" s="146"/>
      <c r="U112" s="542">
        <v>52</v>
      </c>
      <c r="V112" s="734"/>
      <c r="W112" s="673"/>
      <c r="X112"/>
      <c r="Y112" s="104"/>
      <c r="Z112" s="104"/>
      <c r="AA112" s="104"/>
      <c r="AB112" s="104"/>
      <c r="AC112" s="104"/>
      <c r="AD112" s="104"/>
      <c r="AE112" s="104"/>
      <c r="AF112" s="104"/>
      <c r="AG112" s="104"/>
      <c r="AH112" s="104"/>
      <c r="AI112" s="104"/>
      <c r="AJ112" s="104"/>
      <c r="AK112" s="104"/>
      <c r="AL112" s="147"/>
      <c r="AM112" s="146"/>
      <c r="AN112" s="542">
        <v>52</v>
      </c>
      <c r="AO112" s="734"/>
      <c r="AP112" s="673"/>
      <c r="AQ112"/>
      <c r="AR112" s="104"/>
      <c r="AS112" s="104"/>
      <c r="AT112" s="104"/>
      <c r="AU112" s="104"/>
      <c r="AV112" s="104"/>
      <c r="AW112" s="104"/>
      <c r="AX112" s="104"/>
      <c r="AY112" s="104"/>
      <c r="AZ112" s="104"/>
      <c r="BA112" s="104"/>
      <c r="BB112" s="104"/>
      <c r="BC112" s="104"/>
      <c r="BD112" s="104"/>
      <c r="BE112" s="147"/>
      <c r="BF112" s="146"/>
      <c r="BG112" s="542">
        <v>52</v>
      </c>
      <c r="BH112" s="734"/>
      <c r="BI112" s="673"/>
      <c r="BJ112"/>
      <c r="BK112" s="104"/>
      <c r="BL112" s="104"/>
      <c r="BM112" s="104"/>
      <c r="BN112" s="104"/>
      <c r="BO112" s="104"/>
      <c r="BP112" s="104"/>
      <c r="BQ112" s="104"/>
      <c r="BR112" s="104"/>
      <c r="BS112" s="104"/>
      <c r="BT112" s="104"/>
      <c r="BU112" s="104"/>
      <c r="BV112" s="104"/>
      <c r="BW112" s="104"/>
      <c r="BX112" s="147"/>
    </row>
    <row r="113" spans="1:76">
      <c r="A113" s="146"/>
      <c r="B113" s="542">
        <v>53</v>
      </c>
      <c r="C113" s="734"/>
      <c r="D113" s="673"/>
      <c r="E113"/>
      <c r="F113" s="104"/>
      <c r="G113" s="104"/>
      <c r="H113" s="104"/>
      <c r="I113" s="104"/>
      <c r="J113" s="104"/>
      <c r="K113" s="104"/>
      <c r="L113" s="104"/>
      <c r="M113" s="104"/>
      <c r="N113" s="104"/>
      <c r="O113" s="104"/>
      <c r="P113" s="104"/>
      <c r="Q113" s="104"/>
      <c r="R113" s="104"/>
      <c r="S113" s="147"/>
      <c r="T113" s="146"/>
      <c r="U113" s="542">
        <v>53</v>
      </c>
      <c r="V113" s="734"/>
      <c r="W113" s="673"/>
      <c r="X113"/>
      <c r="Y113" s="104"/>
      <c r="Z113" s="104"/>
      <c r="AA113" s="104"/>
      <c r="AB113" s="104"/>
      <c r="AC113" s="104"/>
      <c r="AD113" s="104"/>
      <c r="AE113" s="104"/>
      <c r="AF113" s="104"/>
      <c r="AG113" s="104"/>
      <c r="AH113" s="104"/>
      <c r="AI113" s="104"/>
      <c r="AJ113" s="104"/>
      <c r="AK113" s="104"/>
      <c r="AL113" s="147"/>
      <c r="AM113" s="146"/>
      <c r="AN113" s="542">
        <v>53</v>
      </c>
      <c r="AO113" s="734"/>
      <c r="AP113" s="673"/>
      <c r="AQ113"/>
      <c r="AR113" s="104"/>
      <c r="AS113" s="104"/>
      <c r="AT113" s="104"/>
      <c r="AU113" s="104"/>
      <c r="AV113" s="104"/>
      <c r="AW113" s="104"/>
      <c r="AX113" s="104"/>
      <c r="AY113" s="104"/>
      <c r="AZ113" s="104"/>
      <c r="BA113" s="104"/>
      <c r="BB113" s="104"/>
      <c r="BC113" s="104"/>
      <c r="BD113" s="104"/>
      <c r="BE113" s="147"/>
      <c r="BF113" s="146"/>
      <c r="BG113" s="542">
        <v>53</v>
      </c>
      <c r="BH113" s="734"/>
      <c r="BI113" s="673"/>
      <c r="BJ113"/>
      <c r="BK113" s="104"/>
      <c r="BL113" s="104"/>
      <c r="BM113" s="104"/>
      <c r="BN113" s="104"/>
      <c r="BO113" s="104"/>
      <c r="BP113" s="104"/>
      <c r="BQ113" s="104"/>
      <c r="BR113" s="104"/>
      <c r="BS113" s="104"/>
      <c r="BT113" s="104"/>
      <c r="BU113" s="104"/>
      <c r="BV113" s="104"/>
      <c r="BW113" s="104"/>
      <c r="BX113" s="147"/>
    </row>
    <row r="114" spans="1:76">
      <c r="A114" s="146"/>
      <c r="B114" s="542">
        <v>54</v>
      </c>
      <c r="C114" s="734"/>
      <c r="D114" s="673"/>
      <c r="E114"/>
      <c r="F114" s="104"/>
      <c r="G114" s="104"/>
      <c r="H114" s="104"/>
      <c r="I114" s="104"/>
      <c r="J114" s="104"/>
      <c r="K114" s="104"/>
      <c r="L114" s="104"/>
      <c r="M114" s="104"/>
      <c r="N114" s="104"/>
      <c r="O114" s="104"/>
      <c r="P114" s="104"/>
      <c r="Q114" s="104"/>
      <c r="R114" s="104"/>
      <c r="S114" s="147"/>
      <c r="T114" s="146"/>
      <c r="U114" s="542">
        <v>54</v>
      </c>
      <c r="V114" s="734"/>
      <c r="W114" s="673"/>
      <c r="X114"/>
      <c r="Y114" s="104"/>
      <c r="Z114" s="104"/>
      <c r="AA114" s="104"/>
      <c r="AB114" s="104"/>
      <c r="AC114" s="104"/>
      <c r="AD114" s="104"/>
      <c r="AE114" s="104"/>
      <c r="AF114" s="104"/>
      <c r="AG114" s="104"/>
      <c r="AH114" s="104"/>
      <c r="AI114" s="104"/>
      <c r="AJ114" s="104"/>
      <c r="AK114" s="104"/>
      <c r="AL114" s="147"/>
      <c r="AM114" s="146"/>
      <c r="AN114" s="542">
        <v>54</v>
      </c>
      <c r="AO114" s="734"/>
      <c r="AP114" s="673"/>
      <c r="AQ114"/>
      <c r="AR114" s="104"/>
      <c r="AS114" s="104"/>
      <c r="AT114" s="104"/>
      <c r="AU114" s="104"/>
      <c r="AV114" s="104"/>
      <c r="AW114" s="104"/>
      <c r="AX114" s="104"/>
      <c r="AY114" s="104"/>
      <c r="AZ114" s="104"/>
      <c r="BA114" s="104"/>
      <c r="BB114" s="104"/>
      <c r="BC114" s="104"/>
      <c r="BD114" s="104"/>
      <c r="BE114" s="147"/>
      <c r="BF114" s="146"/>
      <c r="BG114" s="542">
        <v>54</v>
      </c>
      <c r="BH114" s="734"/>
      <c r="BI114" s="673"/>
      <c r="BJ114"/>
      <c r="BK114" s="104"/>
      <c r="BL114" s="104"/>
      <c r="BM114" s="104"/>
      <c r="BN114" s="104"/>
      <c r="BO114" s="104"/>
      <c r="BP114" s="104"/>
      <c r="BQ114" s="104"/>
      <c r="BR114" s="104"/>
      <c r="BS114" s="104"/>
      <c r="BT114" s="104"/>
      <c r="BU114" s="104"/>
      <c r="BV114" s="104"/>
      <c r="BW114" s="104"/>
      <c r="BX114" s="147"/>
    </row>
    <row r="115" spans="1:76">
      <c r="A115" s="146"/>
      <c r="B115" s="542">
        <v>55</v>
      </c>
      <c r="C115" s="734"/>
      <c r="D115" s="673"/>
      <c r="E115"/>
      <c r="F115" s="104"/>
      <c r="G115" s="104"/>
      <c r="H115" s="104"/>
      <c r="I115" s="104"/>
      <c r="J115" s="104"/>
      <c r="K115" s="104"/>
      <c r="L115" s="104"/>
      <c r="M115" s="104"/>
      <c r="N115" s="104"/>
      <c r="O115" s="104"/>
      <c r="P115" s="104"/>
      <c r="Q115" s="104"/>
      <c r="R115" s="104"/>
      <c r="S115" s="147"/>
      <c r="T115" s="146"/>
      <c r="U115" s="542">
        <v>55</v>
      </c>
      <c r="V115" s="734"/>
      <c r="W115" s="673"/>
      <c r="X115"/>
      <c r="Y115" s="104"/>
      <c r="Z115" s="104"/>
      <c r="AA115" s="104"/>
      <c r="AB115" s="104"/>
      <c r="AC115" s="104"/>
      <c r="AD115" s="104"/>
      <c r="AE115" s="104"/>
      <c r="AF115" s="104"/>
      <c r="AG115" s="104"/>
      <c r="AH115" s="104"/>
      <c r="AI115" s="104"/>
      <c r="AJ115" s="104"/>
      <c r="AK115" s="104"/>
      <c r="AL115" s="147"/>
      <c r="AM115" s="146"/>
      <c r="AN115" s="542">
        <v>55</v>
      </c>
      <c r="AO115" s="734"/>
      <c r="AP115" s="673"/>
      <c r="AQ115"/>
      <c r="AR115" s="104"/>
      <c r="AS115" s="104"/>
      <c r="AT115" s="104"/>
      <c r="AU115" s="104"/>
      <c r="AV115" s="104"/>
      <c r="AW115" s="104"/>
      <c r="AX115" s="104"/>
      <c r="AY115" s="104"/>
      <c r="AZ115" s="104"/>
      <c r="BA115" s="104"/>
      <c r="BB115" s="104"/>
      <c r="BC115" s="104"/>
      <c r="BD115" s="104"/>
      <c r="BE115" s="147"/>
      <c r="BF115" s="146"/>
      <c r="BG115" s="542">
        <v>55</v>
      </c>
      <c r="BH115" s="734"/>
      <c r="BI115" s="673"/>
      <c r="BJ115"/>
      <c r="BK115" s="104"/>
      <c r="BL115" s="104"/>
      <c r="BM115" s="104"/>
      <c r="BN115" s="104"/>
      <c r="BO115" s="104"/>
      <c r="BP115" s="104"/>
      <c r="BQ115" s="104"/>
      <c r="BR115" s="104"/>
      <c r="BS115" s="104"/>
      <c r="BT115" s="104"/>
      <c r="BU115" s="104"/>
      <c r="BV115" s="104"/>
      <c r="BW115" s="104"/>
      <c r="BX115" s="147"/>
    </row>
    <row r="116" spans="1:76">
      <c r="A116" s="146"/>
      <c r="B116" s="542">
        <v>56</v>
      </c>
      <c r="C116" s="734"/>
      <c r="D116" s="673"/>
      <c r="E116"/>
      <c r="F116" s="104"/>
      <c r="G116" s="104"/>
      <c r="H116" s="104"/>
      <c r="I116" s="104"/>
      <c r="J116" s="104"/>
      <c r="K116" s="104"/>
      <c r="L116" s="104"/>
      <c r="M116" s="104"/>
      <c r="N116" s="104"/>
      <c r="O116" s="104"/>
      <c r="P116" s="104"/>
      <c r="Q116" s="104"/>
      <c r="R116" s="104"/>
      <c r="S116" s="147"/>
      <c r="T116" s="146"/>
      <c r="U116" s="542">
        <v>56</v>
      </c>
      <c r="V116" s="734"/>
      <c r="W116" s="673"/>
      <c r="X116"/>
      <c r="Y116" s="104"/>
      <c r="Z116" s="104"/>
      <c r="AA116" s="104"/>
      <c r="AB116" s="104"/>
      <c r="AC116" s="104"/>
      <c r="AD116" s="104"/>
      <c r="AE116" s="104"/>
      <c r="AF116" s="104"/>
      <c r="AG116" s="104"/>
      <c r="AH116" s="104"/>
      <c r="AI116" s="104"/>
      <c r="AJ116" s="104"/>
      <c r="AK116" s="104"/>
      <c r="AL116" s="147"/>
      <c r="AM116" s="146"/>
      <c r="AN116" s="542">
        <v>56</v>
      </c>
      <c r="AO116" s="734"/>
      <c r="AP116" s="673"/>
      <c r="AQ116"/>
      <c r="AR116" s="104"/>
      <c r="AS116" s="104"/>
      <c r="AT116" s="104"/>
      <c r="AU116" s="104"/>
      <c r="AV116" s="104"/>
      <c r="AW116" s="104"/>
      <c r="AX116" s="104"/>
      <c r="AY116" s="104"/>
      <c r="AZ116" s="104"/>
      <c r="BA116" s="104"/>
      <c r="BB116" s="104"/>
      <c r="BC116" s="104"/>
      <c r="BD116" s="104"/>
      <c r="BE116" s="147"/>
      <c r="BF116" s="146"/>
      <c r="BG116" s="542">
        <v>56</v>
      </c>
      <c r="BH116" s="734"/>
      <c r="BI116" s="673"/>
      <c r="BJ116"/>
      <c r="BK116" s="104"/>
      <c r="BL116" s="104"/>
      <c r="BM116" s="104"/>
      <c r="BN116" s="104"/>
      <c r="BO116" s="104"/>
      <c r="BP116" s="104"/>
      <c r="BQ116" s="104"/>
      <c r="BR116" s="104"/>
      <c r="BS116" s="104"/>
      <c r="BT116" s="104"/>
      <c r="BU116" s="104"/>
      <c r="BV116" s="104"/>
      <c r="BW116" s="104"/>
      <c r="BX116" s="147"/>
    </row>
    <row r="117" spans="1:76">
      <c r="A117" s="146"/>
      <c r="B117" s="542">
        <v>57</v>
      </c>
      <c r="C117" s="734"/>
      <c r="D117" s="673"/>
      <c r="E117"/>
      <c r="F117" s="104"/>
      <c r="G117" s="104"/>
      <c r="H117" s="104"/>
      <c r="I117" s="104"/>
      <c r="J117" s="104"/>
      <c r="K117" s="104"/>
      <c r="L117" s="104"/>
      <c r="M117" s="104"/>
      <c r="N117" s="104"/>
      <c r="O117" s="104"/>
      <c r="P117" s="104"/>
      <c r="Q117" s="104"/>
      <c r="R117" s="104"/>
      <c r="S117" s="147"/>
      <c r="T117" s="146"/>
      <c r="U117" s="542">
        <v>57</v>
      </c>
      <c r="V117" s="734"/>
      <c r="W117" s="673"/>
      <c r="X117"/>
      <c r="Y117" s="104"/>
      <c r="Z117" s="104"/>
      <c r="AA117" s="104"/>
      <c r="AB117" s="104"/>
      <c r="AC117" s="104"/>
      <c r="AD117" s="104"/>
      <c r="AE117" s="104"/>
      <c r="AF117" s="104"/>
      <c r="AG117" s="104"/>
      <c r="AH117" s="104"/>
      <c r="AI117" s="104"/>
      <c r="AJ117" s="104"/>
      <c r="AK117" s="104"/>
      <c r="AL117" s="147"/>
      <c r="AM117" s="146"/>
      <c r="AN117" s="542">
        <v>57</v>
      </c>
      <c r="AO117" s="734"/>
      <c r="AP117" s="673"/>
      <c r="AQ117"/>
      <c r="AR117" s="104"/>
      <c r="AS117" s="104"/>
      <c r="AT117" s="104"/>
      <c r="AU117" s="104"/>
      <c r="AV117" s="104"/>
      <c r="AW117" s="104"/>
      <c r="AX117" s="104"/>
      <c r="AY117" s="104"/>
      <c r="AZ117" s="104"/>
      <c r="BA117" s="104"/>
      <c r="BB117" s="104"/>
      <c r="BC117" s="104"/>
      <c r="BD117" s="104"/>
      <c r="BE117" s="147"/>
      <c r="BF117" s="146"/>
      <c r="BG117" s="542">
        <v>57</v>
      </c>
      <c r="BH117" s="734"/>
      <c r="BI117" s="673"/>
      <c r="BJ117"/>
      <c r="BK117" s="104"/>
      <c r="BL117" s="104"/>
      <c r="BM117" s="104"/>
      <c r="BN117" s="104"/>
      <c r="BO117" s="104"/>
      <c r="BP117" s="104"/>
      <c r="BQ117" s="104"/>
      <c r="BR117" s="104"/>
      <c r="BS117" s="104"/>
      <c r="BT117" s="104"/>
      <c r="BU117" s="104"/>
      <c r="BV117" s="104"/>
      <c r="BW117" s="104"/>
      <c r="BX117" s="147"/>
    </row>
    <row r="118" spans="1:76">
      <c r="A118" s="146"/>
      <c r="B118" s="542">
        <v>58</v>
      </c>
      <c r="C118" s="734"/>
      <c r="D118" s="673"/>
      <c r="E118"/>
      <c r="F118" s="104"/>
      <c r="G118" s="104"/>
      <c r="H118" s="104"/>
      <c r="I118" s="104"/>
      <c r="J118" s="104"/>
      <c r="K118" s="104"/>
      <c r="L118" s="104"/>
      <c r="M118" s="104"/>
      <c r="N118" s="104"/>
      <c r="O118" s="104"/>
      <c r="P118" s="104"/>
      <c r="Q118" s="104"/>
      <c r="R118" s="104"/>
      <c r="S118" s="147"/>
      <c r="T118" s="146"/>
      <c r="U118" s="542">
        <v>58</v>
      </c>
      <c r="V118" s="734"/>
      <c r="W118" s="673"/>
      <c r="X118"/>
      <c r="Y118" s="104"/>
      <c r="Z118" s="104"/>
      <c r="AA118" s="104"/>
      <c r="AB118" s="104"/>
      <c r="AC118" s="104"/>
      <c r="AD118" s="104"/>
      <c r="AE118" s="104"/>
      <c r="AF118" s="104"/>
      <c r="AG118" s="104"/>
      <c r="AH118" s="104"/>
      <c r="AI118" s="104"/>
      <c r="AJ118" s="104"/>
      <c r="AK118" s="104"/>
      <c r="AL118" s="147"/>
      <c r="AM118" s="146"/>
      <c r="AN118" s="542">
        <v>58</v>
      </c>
      <c r="AO118" s="734"/>
      <c r="AP118" s="673"/>
      <c r="AQ118"/>
      <c r="AR118" s="104"/>
      <c r="AS118" s="104"/>
      <c r="AT118" s="104"/>
      <c r="AU118" s="104"/>
      <c r="AV118" s="104"/>
      <c r="AW118" s="104"/>
      <c r="AX118" s="104"/>
      <c r="AY118" s="104"/>
      <c r="AZ118" s="104"/>
      <c r="BA118" s="104"/>
      <c r="BB118" s="104"/>
      <c r="BC118" s="104"/>
      <c r="BD118" s="104"/>
      <c r="BE118" s="147"/>
      <c r="BF118" s="146"/>
      <c r="BG118" s="542">
        <v>58</v>
      </c>
      <c r="BH118" s="734"/>
      <c r="BI118" s="673"/>
      <c r="BJ118"/>
      <c r="BK118" s="104"/>
      <c r="BL118" s="104"/>
      <c r="BM118" s="104"/>
      <c r="BN118" s="104"/>
      <c r="BO118" s="104"/>
      <c r="BP118" s="104"/>
      <c r="BQ118" s="104"/>
      <c r="BR118" s="104"/>
      <c r="BS118" s="104"/>
      <c r="BT118" s="104"/>
      <c r="BU118" s="104"/>
      <c r="BV118" s="104"/>
      <c r="BW118" s="104"/>
      <c r="BX118" s="147"/>
    </row>
    <row r="119" spans="1:76">
      <c r="A119" s="146"/>
      <c r="B119" s="542">
        <v>59</v>
      </c>
      <c r="C119" s="734"/>
      <c r="D119" s="673"/>
      <c r="E119"/>
      <c r="F119" s="104"/>
      <c r="G119" s="104"/>
      <c r="H119" s="104"/>
      <c r="I119" s="104"/>
      <c r="J119" s="104"/>
      <c r="K119" s="104"/>
      <c r="L119" s="104"/>
      <c r="M119" s="104"/>
      <c r="N119" s="104"/>
      <c r="O119" s="104"/>
      <c r="P119" s="104"/>
      <c r="Q119" s="104"/>
      <c r="R119" s="104"/>
      <c r="S119" s="147"/>
      <c r="T119" s="146"/>
      <c r="U119" s="542">
        <v>59</v>
      </c>
      <c r="V119" s="734"/>
      <c r="W119" s="673"/>
      <c r="X119"/>
      <c r="Y119" s="104"/>
      <c r="Z119" s="104"/>
      <c r="AA119" s="104"/>
      <c r="AB119" s="104"/>
      <c r="AC119" s="104"/>
      <c r="AD119" s="104"/>
      <c r="AE119" s="104"/>
      <c r="AF119" s="104"/>
      <c r="AG119" s="104"/>
      <c r="AH119" s="104"/>
      <c r="AI119" s="104"/>
      <c r="AJ119" s="104"/>
      <c r="AK119" s="104"/>
      <c r="AL119" s="147"/>
      <c r="AM119" s="146"/>
      <c r="AN119" s="542">
        <v>59</v>
      </c>
      <c r="AO119" s="734"/>
      <c r="AP119" s="673"/>
      <c r="AQ119"/>
      <c r="AR119" s="104"/>
      <c r="AS119" s="104"/>
      <c r="AT119" s="104"/>
      <c r="AU119" s="104"/>
      <c r="AV119" s="104"/>
      <c r="AW119" s="104"/>
      <c r="AX119" s="104"/>
      <c r="AY119" s="104"/>
      <c r="AZ119" s="104"/>
      <c r="BA119" s="104"/>
      <c r="BB119" s="104"/>
      <c r="BC119" s="104"/>
      <c r="BD119" s="104"/>
      <c r="BE119" s="147"/>
      <c r="BF119" s="146"/>
      <c r="BG119" s="542">
        <v>59</v>
      </c>
      <c r="BH119" s="734"/>
      <c r="BI119" s="673"/>
      <c r="BJ119"/>
      <c r="BK119" s="104"/>
      <c r="BL119" s="104"/>
      <c r="BM119" s="104"/>
      <c r="BN119" s="104"/>
      <c r="BO119" s="104"/>
      <c r="BP119" s="104"/>
      <c r="BQ119" s="104"/>
      <c r="BR119" s="104"/>
      <c r="BS119" s="104"/>
      <c r="BT119" s="104"/>
      <c r="BU119" s="104"/>
      <c r="BV119" s="104"/>
      <c r="BW119" s="104"/>
      <c r="BX119" s="147"/>
    </row>
    <row r="120" spans="1:76">
      <c r="A120" s="146"/>
      <c r="B120" s="542">
        <v>60</v>
      </c>
      <c r="C120" s="734"/>
      <c r="D120" s="673"/>
      <c r="E120"/>
      <c r="F120" s="104"/>
      <c r="G120" s="104"/>
      <c r="H120" s="104"/>
      <c r="I120" s="104"/>
      <c r="J120" s="104"/>
      <c r="K120" s="104"/>
      <c r="L120" s="104"/>
      <c r="M120" s="104"/>
      <c r="N120" s="104"/>
      <c r="O120" s="104"/>
      <c r="P120" s="104"/>
      <c r="Q120" s="104"/>
      <c r="R120" s="104"/>
      <c r="S120" s="147"/>
      <c r="T120" s="146"/>
      <c r="U120" s="542">
        <v>60</v>
      </c>
      <c r="V120" s="734"/>
      <c r="W120" s="673"/>
      <c r="X120"/>
      <c r="Y120" s="104"/>
      <c r="Z120" s="104"/>
      <c r="AA120" s="104"/>
      <c r="AB120" s="104"/>
      <c r="AC120" s="104"/>
      <c r="AD120" s="104"/>
      <c r="AE120" s="104"/>
      <c r="AF120" s="104"/>
      <c r="AG120" s="104"/>
      <c r="AH120" s="104"/>
      <c r="AI120" s="104"/>
      <c r="AJ120" s="104"/>
      <c r="AK120" s="104"/>
      <c r="AL120" s="147"/>
      <c r="AM120" s="146"/>
      <c r="AN120" s="542">
        <v>60</v>
      </c>
      <c r="AO120" s="734"/>
      <c r="AP120" s="673"/>
      <c r="AQ120"/>
      <c r="AR120" s="104"/>
      <c r="AS120" s="104"/>
      <c r="AT120" s="104"/>
      <c r="AU120" s="104"/>
      <c r="AV120" s="104"/>
      <c r="AW120" s="104"/>
      <c r="AX120" s="104"/>
      <c r="AY120" s="104"/>
      <c r="AZ120" s="104"/>
      <c r="BA120" s="104"/>
      <c r="BB120" s="104"/>
      <c r="BC120" s="104"/>
      <c r="BD120" s="104"/>
      <c r="BE120" s="147"/>
      <c r="BF120" s="146"/>
      <c r="BG120" s="542">
        <v>60</v>
      </c>
      <c r="BH120" s="734"/>
      <c r="BI120" s="673"/>
      <c r="BJ120"/>
      <c r="BK120" s="104"/>
      <c r="BL120" s="104"/>
      <c r="BM120" s="104"/>
      <c r="BN120" s="104"/>
      <c r="BO120" s="104"/>
      <c r="BP120" s="104"/>
      <c r="BQ120" s="104"/>
      <c r="BR120" s="104"/>
      <c r="BS120" s="104"/>
      <c r="BT120" s="104"/>
      <c r="BU120" s="104"/>
      <c r="BV120" s="104"/>
      <c r="BW120" s="104"/>
      <c r="BX120" s="147"/>
    </row>
    <row r="121" spans="1:76">
      <c r="A121" s="146"/>
      <c r="B121" s="542">
        <v>61</v>
      </c>
      <c r="C121" s="734"/>
      <c r="D121" s="673"/>
      <c r="E121"/>
      <c r="F121" s="104"/>
      <c r="G121" s="104"/>
      <c r="H121" s="104"/>
      <c r="I121" s="104"/>
      <c r="J121" s="104"/>
      <c r="K121" s="104"/>
      <c r="L121" s="104"/>
      <c r="M121" s="104"/>
      <c r="N121" s="104"/>
      <c r="O121" s="104"/>
      <c r="P121" s="104"/>
      <c r="Q121" s="104"/>
      <c r="R121" s="104"/>
      <c r="S121" s="147"/>
      <c r="T121" s="146"/>
      <c r="U121" s="542">
        <v>61</v>
      </c>
      <c r="V121" s="734"/>
      <c r="W121" s="673"/>
      <c r="X121"/>
      <c r="Y121" s="104"/>
      <c r="Z121" s="104"/>
      <c r="AA121" s="104"/>
      <c r="AB121" s="104"/>
      <c r="AC121" s="104"/>
      <c r="AD121" s="104"/>
      <c r="AE121" s="104"/>
      <c r="AF121" s="104"/>
      <c r="AG121" s="104"/>
      <c r="AH121" s="104"/>
      <c r="AI121" s="104"/>
      <c r="AJ121" s="104"/>
      <c r="AK121" s="104"/>
      <c r="AL121" s="147"/>
      <c r="AM121" s="146"/>
      <c r="AN121" s="542">
        <v>61</v>
      </c>
      <c r="AO121" s="734"/>
      <c r="AP121" s="673"/>
      <c r="AQ121"/>
      <c r="AR121" s="104"/>
      <c r="AS121" s="104"/>
      <c r="AT121" s="104"/>
      <c r="AU121" s="104"/>
      <c r="AV121" s="104"/>
      <c r="AW121" s="104"/>
      <c r="AX121" s="104"/>
      <c r="AY121" s="104"/>
      <c r="AZ121" s="104"/>
      <c r="BA121" s="104"/>
      <c r="BB121" s="104"/>
      <c r="BC121" s="104"/>
      <c r="BD121" s="104"/>
      <c r="BE121" s="147"/>
      <c r="BF121" s="146"/>
      <c r="BG121" s="542">
        <v>61</v>
      </c>
      <c r="BH121" s="734"/>
      <c r="BI121" s="673"/>
      <c r="BJ121"/>
      <c r="BK121" s="104"/>
      <c r="BL121" s="104"/>
      <c r="BM121" s="104"/>
      <c r="BN121" s="104"/>
      <c r="BO121" s="104"/>
      <c r="BP121" s="104"/>
      <c r="BQ121" s="104"/>
      <c r="BR121" s="104"/>
      <c r="BS121" s="104"/>
      <c r="BT121" s="104"/>
      <c r="BU121" s="104"/>
      <c r="BV121" s="104"/>
      <c r="BW121" s="104"/>
      <c r="BX121" s="147"/>
    </row>
    <row r="122" spans="1:76">
      <c r="A122" s="146"/>
      <c r="B122" s="542">
        <v>62</v>
      </c>
      <c r="C122" s="734"/>
      <c r="D122" s="673"/>
      <c r="E122"/>
      <c r="F122" s="104"/>
      <c r="G122" s="104"/>
      <c r="H122" s="104"/>
      <c r="I122" s="104"/>
      <c r="J122" s="104"/>
      <c r="K122" s="104"/>
      <c r="L122" s="104"/>
      <c r="M122" s="104"/>
      <c r="N122" s="104"/>
      <c r="O122" s="104"/>
      <c r="P122" s="104"/>
      <c r="Q122" s="104"/>
      <c r="R122" s="104"/>
      <c r="S122" s="147"/>
      <c r="T122" s="146"/>
      <c r="U122" s="542">
        <v>62</v>
      </c>
      <c r="V122" s="734"/>
      <c r="W122" s="673"/>
      <c r="X122"/>
      <c r="Y122" s="104"/>
      <c r="Z122" s="104"/>
      <c r="AA122" s="104"/>
      <c r="AB122" s="104"/>
      <c r="AC122" s="104"/>
      <c r="AD122" s="104"/>
      <c r="AE122" s="104"/>
      <c r="AF122" s="104"/>
      <c r="AG122" s="104"/>
      <c r="AH122" s="104"/>
      <c r="AI122" s="104"/>
      <c r="AJ122" s="104"/>
      <c r="AK122" s="104"/>
      <c r="AL122" s="147"/>
      <c r="AM122" s="146"/>
      <c r="AN122" s="542">
        <v>62</v>
      </c>
      <c r="AO122" s="734"/>
      <c r="AP122" s="673"/>
      <c r="AQ122"/>
      <c r="AR122" s="104"/>
      <c r="AS122" s="104"/>
      <c r="AT122" s="104"/>
      <c r="AU122" s="104"/>
      <c r="AV122" s="104"/>
      <c r="AW122" s="104"/>
      <c r="AX122" s="104"/>
      <c r="AY122" s="104"/>
      <c r="AZ122" s="104"/>
      <c r="BA122" s="104"/>
      <c r="BB122" s="104"/>
      <c r="BC122" s="104"/>
      <c r="BD122" s="104"/>
      <c r="BE122" s="147"/>
      <c r="BF122" s="146"/>
      <c r="BG122" s="542">
        <v>62</v>
      </c>
      <c r="BH122" s="734"/>
      <c r="BI122" s="673"/>
      <c r="BJ122"/>
      <c r="BK122" s="104"/>
      <c r="BL122" s="104"/>
      <c r="BM122" s="104"/>
      <c r="BN122" s="104"/>
      <c r="BO122" s="104"/>
      <c r="BP122" s="104"/>
      <c r="BQ122" s="104"/>
      <c r="BR122" s="104"/>
      <c r="BS122" s="104"/>
      <c r="BT122" s="104"/>
      <c r="BU122" s="104"/>
      <c r="BV122" s="104"/>
      <c r="BW122" s="104"/>
      <c r="BX122" s="147"/>
    </row>
    <row r="123" spans="1:76">
      <c r="A123" s="146"/>
      <c r="B123" s="542">
        <v>63</v>
      </c>
      <c r="C123" s="734"/>
      <c r="D123" s="673"/>
      <c r="E123"/>
      <c r="F123" s="104"/>
      <c r="G123" s="104"/>
      <c r="H123" s="104"/>
      <c r="I123" s="104"/>
      <c r="J123" s="104"/>
      <c r="K123" s="104"/>
      <c r="L123" s="104"/>
      <c r="M123" s="104"/>
      <c r="N123" s="104"/>
      <c r="O123" s="104"/>
      <c r="P123" s="104"/>
      <c r="Q123" s="104"/>
      <c r="R123" s="104"/>
      <c r="S123" s="147"/>
      <c r="T123" s="146"/>
      <c r="U123" s="542">
        <v>63</v>
      </c>
      <c r="V123" s="734"/>
      <c r="W123" s="673"/>
      <c r="X123"/>
      <c r="Y123" s="104"/>
      <c r="Z123" s="104"/>
      <c r="AA123" s="104"/>
      <c r="AB123" s="104"/>
      <c r="AC123" s="104"/>
      <c r="AD123" s="104"/>
      <c r="AE123" s="104"/>
      <c r="AF123" s="104"/>
      <c r="AG123" s="104"/>
      <c r="AH123" s="104"/>
      <c r="AI123" s="104"/>
      <c r="AJ123" s="104"/>
      <c r="AK123" s="104"/>
      <c r="AL123" s="147"/>
      <c r="AM123" s="146"/>
      <c r="AN123" s="542">
        <v>63</v>
      </c>
      <c r="AO123" s="734"/>
      <c r="AP123" s="673"/>
      <c r="AQ123"/>
      <c r="AR123" s="104"/>
      <c r="AS123" s="104"/>
      <c r="AT123" s="104"/>
      <c r="AU123" s="104"/>
      <c r="AV123" s="104"/>
      <c r="AW123" s="104"/>
      <c r="AX123" s="104"/>
      <c r="AY123" s="104"/>
      <c r="AZ123" s="104"/>
      <c r="BA123" s="104"/>
      <c r="BB123" s="104"/>
      <c r="BC123" s="104"/>
      <c r="BD123" s="104"/>
      <c r="BE123" s="147"/>
      <c r="BF123" s="146"/>
      <c r="BG123" s="542">
        <v>63</v>
      </c>
      <c r="BH123" s="734"/>
      <c r="BI123" s="673"/>
      <c r="BJ123"/>
      <c r="BK123" s="104"/>
      <c r="BL123" s="104"/>
      <c r="BM123" s="104"/>
      <c r="BN123" s="104"/>
      <c r="BO123" s="104"/>
      <c r="BP123" s="104"/>
      <c r="BQ123" s="104"/>
      <c r="BR123" s="104"/>
      <c r="BS123" s="104"/>
      <c r="BT123" s="104"/>
      <c r="BU123" s="104"/>
      <c r="BV123" s="104"/>
      <c r="BW123" s="104"/>
      <c r="BX123" s="147"/>
    </row>
    <row r="124" spans="1:76">
      <c r="A124" s="146"/>
      <c r="B124" s="542">
        <v>64</v>
      </c>
      <c r="C124" s="734"/>
      <c r="D124" s="673"/>
      <c r="E124"/>
      <c r="F124" s="104"/>
      <c r="G124" s="104"/>
      <c r="H124" s="104"/>
      <c r="I124" s="104"/>
      <c r="J124" s="104"/>
      <c r="K124" s="104"/>
      <c r="L124" s="104"/>
      <c r="M124" s="104"/>
      <c r="N124" s="104"/>
      <c r="O124" s="104"/>
      <c r="P124" s="104"/>
      <c r="Q124" s="104"/>
      <c r="R124" s="104"/>
      <c r="S124" s="147"/>
      <c r="T124" s="146"/>
      <c r="U124" s="542">
        <v>64</v>
      </c>
      <c r="V124" s="734"/>
      <c r="W124" s="673"/>
      <c r="X124"/>
      <c r="Y124" s="104"/>
      <c r="Z124" s="104"/>
      <c r="AA124" s="104"/>
      <c r="AB124" s="104"/>
      <c r="AC124" s="104"/>
      <c r="AD124" s="104"/>
      <c r="AE124" s="104"/>
      <c r="AF124" s="104"/>
      <c r="AG124" s="104"/>
      <c r="AH124" s="104"/>
      <c r="AI124" s="104"/>
      <c r="AJ124" s="104"/>
      <c r="AK124" s="104"/>
      <c r="AL124" s="147"/>
      <c r="AM124" s="146"/>
      <c r="AN124" s="542">
        <v>64</v>
      </c>
      <c r="AO124" s="734"/>
      <c r="AP124" s="673"/>
      <c r="AQ124"/>
      <c r="AR124" s="104"/>
      <c r="AS124" s="104"/>
      <c r="AT124" s="104"/>
      <c r="AU124" s="104"/>
      <c r="AV124" s="104"/>
      <c r="AW124" s="104"/>
      <c r="AX124" s="104"/>
      <c r="AY124" s="104"/>
      <c r="AZ124" s="104"/>
      <c r="BA124" s="104"/>
      <c r="BB124" s="104"/>
      <c r="BC124" s="104"/>
      <c r="BD124" s="104"/>
      <c r="BE124" s="147"/>
      <c r="BF124" s="146"/>
      <c r="BG124" s="542">
        <v>64</v>
      </c>
      <c r="BH124" s="734"/>
      <c r="BI124" s="673"/>
      <c r="BJ124"/>
      <c r="BK124" s="104"/>
      <c r="BL124" s="104"/>
      <c r="BM124" s="104"/>
      <c r="BN124" s="104"/>
      <c r="BO124" s="104"/>
      <c r="BP124" s="104"/>
      <c r="BQ124" s="104"/>
      <c r="BR124" s="104"/>
      <c r="BS124" s="104"/>
      <c r="BT124" s="104"/>
      <c r="BU124" s="104"/>
      <c r="BV124" s="104"/>
      <c r="BW124" s="104"/>
      <c r="BX124" s="147"/>
    </row>
    <row r="125" spans="1:76">
      <c r="A125" s="146"/>
      <c r="B125" s="542">
        <v>65</v>
      </c>
      <c r="C125" s="734"/>
      <c r="D125" s="673"/>
      <c r="E125"/>
      <c r="F125" s="104"/>
      <c r="G125" s="104"/>
      <c r="H125" s="104"/>
      <c r="I125" s="104"/>
      <c r="J125" s="104"/>
      <c r="K125" s="104"/>
      <c r="L125" s="104"/>
      <c r="M125" s="104"/>
      <c r="N125" s="104"/>
      <c r="O125" s="104"/>
      <c r="P125" s="104"/>
      <c r="Q125" s="104"/>
      <c r="R125" s="104"/>
      <c r="S125" s="147"/>
      <c r="T125" s="146"/>
      <c r="U125" s="542">
        <v>65</v>
      </c>
      <c r="V125" s="734"/>
      <c r="W125" s="673"/>
      <c r="X125"/>
      <c r="Y125" s="104"/>
      <c r="Z125" s="104"/>
      <c r="AA125" s="104"/>
      <c r="AB125" s="104"/>
      <c r="AC125" s="104"/>
      <c r="AD125" s="104"/>
      <c r="AE125" s="104"/>
      <c r="AF125" s="104"/>
      <c r="AG125" s="104"/>
      <c r="AH125" s="104"/>
      <c r="AI125" s="104"/>
      <c r="AJ125" s="104"/>
      <c r="AK125" s="104"/>
      <c r="AL125" s="147"/>
      <c r="AM125" s="146"/>
      <c r="AN125" s="542">
        <v>65</v>
      </c>
      <c r="AO125" s="734"/>
      <c r="AP125" s="673"/>
      <c r="AQ125"/>
      <c r="AR125" s="104"/>
      <c r="AS125" s="104"/>
      <c r="AT125" s="104"/>
      <c r="AU125" s="104"/>
      <c r="AV125" s="104"/>
      <c r="AW125" s="104"/>
      <c r="AX125" s="104"/>
      <c r="AY125" s="104"/>
      <c r="AZ125" s="104"/>
      <c r="BA125" s="104"/>
      <c r="BB125" s="104"/>
      <c r="BC125" s="104"/>
      <c r="BD125" s="104"/>
      <c r="BE125" s="147"/>
      <c r="BF125" s="146"/>
      <c r="BG125" s="542">
        <v>65</v>
      </c>
      <c r="BH125" s="734"/>
      <c r="BI125" s="673"/>
      <c r="BJ125"/>
      <c r="BK125" s="104"/>
      <c r="BL125" s="104"/>
      <c r="BM125" s="104"/>
      <c r="BN125" s="104"/>
      <c r="BO125" s="104"/>
      <c r="BP125" s="104"/>
      <c r="BQ125" s="104"/>
      <c r="BR125" s="104"/>
      <c r="BS125" s="104"/>
      <c r="BT125" s="104"/>
      <c r="BU125" s="104"/>
      <c r="BV125" s="104"/>
      <c r="BW125" s="104"/>
      <c r="BX125" s="147"/>
    </row>
    <row r="126" spans="1:76">
      <c r="A126" s="146"/>
      <c r="B126" s="542">
        <v>66</v>
      </c>
      <c r="C126" s="734"/>
      <c r="D126" s="673"/>
      <c r="E126"/>
      <c r="F126" s="104"/>
      <c r="G126" s="104"/>
      <c r="H126" s="104"/>
      <c r="I126" s="104"/>
      <c r="J126" s="104"/>
      <c r="K126" s="104"/>
      <c r="L126" s="104"/>
      <c r="M126" s="104"/>
      <c r="N126" s="104"/>
      <c r="O126" s="104"/>
      <c r="P126" s="104"/>
      <c r="Q126" s="104"/>
      <c r="R126" s="104"/>
      <c r="S126" s="147"/>
      <c r="T126" s="146"/>
      <c r="U126" s="542">
        <v>66</v>
      </c>
      <c r="V126" s="734"/>
      <c r="W126" s="673"/>
      <c r="X126"/>
      <c r="Y126" s="104"/>
      <c r="Z126" s="104"/>
      <c r="AA126" s="104"/>
      <c r="AB126" s="104"/>
      <c r="AC126" s="104"/>
      <c r="AD126" s="104"/>
      <c r="AE126" s="104"/>
      <c r="AF126" s="104"/>
      <c r="AG126" s="104"/>
      <c r="AH126" s="104"/>
      <c r="AI126" s="104"/>
      <c r="AJ126" s="104"/>
      <c r="AK126" s="104"/>
      <c r="AL126" s="147"/>
      <c r="AM126" s="146"/>
      <c r="AN126" s="542">
        <v>66</v>
      </c>
      <c r="AO126" s="734"/>
      <c r="AP126" s="673"/>
      <c r="AQ126"/>
      <c r="AR126" s="104"/>
      <c r="AS126" s="104"/>
      <c r="AT126" s="104"/>
      <c r="AU126" s="104"/>
      <c r="AV126" s="104"/>
      <c r="AW126" s="104"/>
      <c r="AX126" s="104"/>
      <c r="AY126" s="104"/>
      <c r="AZ126" s="104"/>
      <c r="BA126" s="104"/>
      <c r="BB126" s="104"/>
      <c r="BC126" s="104"/>
      <c r="BD126" s="104"/>
      <c r="BE126" s="147"/>
      <c r="BF126" s="146"/>
      <c r="BG126" s="542">
        <v>66</v>
      </c>
      <c r="BH126" s="734"/>
      <c r="BI126" s="673"/>
      <c r="BJ126"/>
      <c r="BK126" s="104"/>
      <c r="BL126" s="104"/>
      <c r="BM126" s="104"/>
      <c r="BN126" s="104"/>
      <c r="BO126" s="104"/>
      <c r="BP126" s="104"/>
      <c r="BQ126" s="104"/>
      <c r="BR126" s="104"/>
      <c r="BS126" s="104"/>
      <c r="BT126" s="104"/>
      <c r="BU126" s="104"/>
      <c r="BV126" s="104"/>
      <c r="BW126" s="104"/>
      <c r="BX126" s="147"/>
    </row>
    <row r="127" spans="1:76">
      <c r="A127" s="146"/>
      <c r="B127" s="542">
        <v>67</v>
      </c>
      <c r="C127" s="734"/>
      <c r="D127" s="673"/>
      <c r="E127"/>
      <c r="F127" s="104"/>
      <c r="G127" s="104"/>
      <c r="H127" s="104"/>
      <c r="I127" s="104"/>
      <c r="J127" s="104"/>
      <c r="K127" s="104"/>
      <c r="L127" s="104"/>
      <c r="M127" s="104"/>
      <c r="N127" s="104"/>
      <c r="O127" s="104"/>
      <c r="P127" s="104"/>
      <c r="Q127" s="104"/>
      <c r="R127" s="104"/>
      <c r="S127" s="147"/>
      <c r="T127" s="146"/>
      <c r="U127" s="542">
        <v>67</v>
      </c>
      <c r="V127" s="734"/>
      <c r="W127" s="673"/>
      <c r="X127"/>
      <c r="Y127" s="104"/>
      <c r="Z127" s="104"/>
      <c r="AA127" s="104"/>
      <c r="AB127" s="104"/>
      <c r="AC127" s="104"/>
      <c r="AD127" s="104"/>
      <c r="AE127" s="104"/>
      <c r="AF127" s="104"/>
      <c r="AG127" s="104"/>
      <c r="AH127" s="104"/>
      <c r="AI127" s="104"/>
      <c r="AJ127" s="104"/>
      <c r="AK127" s="104"/>
      <c r="AL127" s="147"/>
      <c r="AM127" s="146"/>
      <c r="AN127" s="542">
        <v>67</v>
      </c>
      <c r="AO127" s="734"/>
      <c r="AP127" s="673"/>
      <c r="AQ127"/>
      <c r="AR127" s="104"/>
      <c r="AS127" s="104"/>
      <c r="AT127" s="104"/>
      <c r="AU127" s="104"/>
      <c r="AV127" s="104"/>
      <c r="AW127" s="104"/>
      <c r="AX127" s="104"/>
      <c r="AY127" s="104"/>
      <c r="AZ127" s="104"/>
      <c r="BA127" s="104"/>
      <c r="BB127" s="104"/>
      <c r="BC127" s="104"/>
      <c r="BD127" s="104"/>
      <c r="BE127" s="147"/>
      <c r="BF127" s="146"/>
      <c r="BG127" s="542">
        <v>67</v>
      </c>
      <c r="BH127" s="734"/>
      <c r="BI127" s="673"/>
      <c r="BJ127"/>
      <c r="BK127" s="104"/>
      <c r="BL127" s="104"/>
      <c r="BM127" s="104"/>
      <c r="BN127" s="104"/>
      <c r="BO127" s="104"/>
      <c r="BP127" s="104"/>
      <c r="BQ127" s="104"/>
      <c r="BR127" s="104"/>
      <c r="BS127" s="104"/>
      <c r="BT127" s="104"/>
      <c r="BU127" s="104"/>
      <c r="BV127" s="104"/>
      <c r="BW127" s="104"/>
      <c r="BX127" s="147"/>
    </row>
    <row r="128" spans="1:76">
      <c r="A128" s="146"/>
      <c r="B128" s="542">
        <v>68</v>
      </c>
      <c r="C128" s="734"/>
      <c r="D128" s="673"/>
      <c r="E128"/>
      <c r="F128" s="104"/>
      <c r="G128" s="104"/>
      <c r="H128" s="104"/>
      <c r="I128" s="104"/>
      <c r="J128" s="104"/>
      <c r="K128" s="104"/>
      <c r="L128" s="104"/>
      <c r="M128" s="104"/>
      <c r="N128" s="104"/>
      <c r="O128" s="104"/>
      <c r="P128" s="104"/>
      <c r="Q128" s="104"/>
      <c r="R128" s="104"/>
      <c r="S128" s="147"/>
      <c r="T128" s="146"/>
      <c r="U128" s="542">
        <v>68</v>
      </c>
      <c r="V128" s="734"/>
      <c r="W128" s="673"/>
      <c r="X128"/>
      <c r="Y128" s="104"/>
      <c r="Z128" s="104"/>
      <c r="AA128" s="104"/>
      <c r="AB128" s="104"/>
      <c r="AC128" s="104"/>
      <c r="AD128" s="104"/>
      <c r="AE128" s="104"/>
      <c r="AF128" s="104"/>
      <c r="AG128" s="104"/>
      <c r="AH128" s="104"/>
      <c r="AI128" s="104"/>
      <c r="AJ128" s="104"/>
      <c r="AK128" s="104"/>
      <c r="AL128" s="147"/>
      <c r="AM128" s="146"/>
      <c r="AN128" s="542">
        <v>68</v>
      </c>
      <c r="AO128" s="734"/>
      <c r="AP128" s="673"/>
      <c r="AQ128"/>
      <c r="AR128" s="104"/>
      <c r="AS128" s="104"/>
      <c r="AT128" s="104"/>
      <c r="AU128" s="104"/>
      <c r="AV128" s="104"/>
      <c r="AW128" s="104"/>
      <c r="AX128" s="104"/>
      <c r="AY128" s="104"/>
      <c r="AZ128" s="104"/>
      <c r="BA128" s="104"/>
      <c r="BB128" s="104"/>
      <c r="BC128" s="104"/>
      <c r="BD128" s="104"/>
      <c r="BE128" s="147"/>
      <c r="BF128" s="146"/>
      <c r="BG128" s="542">
        <v>68</v>
      </c>
      <c r="BH128" s="734"/>
      <c r="BI128" s="673"/>
      <c r="BJ128"/>
      <c r="BK128" s="104"/>
      <c r="BL128" s="104"/>
      <c r="BM128" s="104"/>
      <c r="BN128" s="104"/>
      <c r="BO128" s="104"/>
      <c r="BP128" s="104"/>
      <c r="BQ128" s="104"/>
      <c r="BR128" s="104"/>
      <c r="BS128" s="104"/>
      <c r="BT128" s="104"/>
      <c r="BU128" s="104"/>
      <c r="BV128" s="104"/>
      <c r="BW128" s="104"/>
      <c r="BX128" s="147"/>
    </row>
    <row r="129" spans="1:76">
      <c r="A129" s="146"/>
      <c r="B129" s="542">
        <v>69</v>
      </c>
      <c r="C129" s="734"/>
      <c r="D129" s="673"/>
      <c r="E129"/>
      <c r="F129" s="104"/>
      <c r="G129" s="104"/>
      <c r="H129" s="104"/>
      <c r="I129" s="104"/>
      <c r="J129" s="104"/>
      <c r="K129" s="104"/>
      <c r="L129" s="104"/>
      <c r="M129" s="104"/>
      <c r="N129" s="104"/>
      <c r="O129" s="104"/>
      <c r="P129" s="104"/>
      <c r="Q129" s="104"/>
      <c r="R129" s="104"/>
      <c r="S129" s="147"/>
      <c r="T129" s="146"/>
      <c r="U129" s="542">
        <v>69</v>
      </c>
      <c r="V129" s="734"/>
      <c r="W129" s="673"/>
      <c r="X129"/>
      <c r="Y129" s="104"/>
      <c r="Z129" s="104"/>
      <c r="AA129" s="104"/>
      <c r="AB129" s="104"/>
      <c r="AC129" s="104"/>
      <c r="AD129" s="104"/>
      <c r="AE129" s="104"/>
      <c r="AF129" s="104"/>
      <c r="AG129" s="104"/>
      <c r="AH129" s="104"/>
      <c r="AI129" s="104"/>
      <c r="AJ129" s="104"/>
      <c r="AK129" s="104"/>
      <c r="AL129" s="147"/>
      <c r="AM129" s="146"/>
      <c r="AN129" s="542">
        <v>69</v>
      </c>
      <c r="AO129" s="734"/>
      <c r="AP129" s="673"/>
      <c r="AQ129"/>
      <c r="AR129" s="104"/>
      <c r="AS129" s="104"/>
      <c r="AT129" s="104"/>
      <c r="AU129" s="104"/>
      <c r="AV129" s="104"/>
      <c r="AW129" s="104"/>
      <c r="AX129" s="104"/>
      <c r="AY129" s="104"/>
      <c r="AZ129" s="104"/>
      <c r="BA129" s="104"/>
      <c r="BB129" s="104"/>
      <c r="BC129" s="104"/>
      <c r="BD129" s="104"/>
      <c r="BE129" s="147"/>
      <c r="BF129" s="146"/>
      <c r="BG129" s="542">
        <v>69</v>
      </c>
      <c r="BH129" s="734"/>
      <c r="BI129" s="673"/>
      <c r="BJ129"/>
      <c r="BK129" s="104"/>
      <c r="BL129" s="104"/>
      <c r="BM129" s="104"/>
      <c r="BN129" s="104"/>
      <c r="BO129" s="104"/>
      <c r="BP129" s="104"/>
      <c r="BQ129" s="104"/>
      <c r="BR129" s="104"/>
      <c r="BS129" s="104"/>
      <c r="BT129" s="104"/>
      <c r="BU129" s="104"/>
      <c r="BV129" s="104"/>
      <c r="BW129" s="104"/>
      <c r="BX129" s="147"/>
    </row>
    <row r="130" spans="1:76">
      <c r="A130" s="146"/>
      <c r="B130" s="542">
        <v>70</v>
      </c>
      <c r="C130" s="734"/>
      <c r="D130" s="673"/>
      <c r="E130"/>
      <c r="F130" s="104"/>
      <c r="G130" s="104"/>
      <c r="H130" s="104"/>
      <c r="I130" s="104"/>
      <c r="J130" s="104"/>
      <c r="K130" s="104"/>
      <c r="L130" s="104"/>
      <c r="M130" s="104"/>
      <c r="N130" s="104"/>
      <c r="O130" s="104"/>
      <c r="P130" s="104"/>
      <c r="Q130" s="104"/>
      <c r="R130" s="104"/>
      <c r="S130" s="147"/>
      <c r="T130" s="146"/>
      <c r="U130" s="542">
        <v>70</v>
      </c>
      <c r="V130" s="734"/>
      <c r="W130" s="673"/>
      <c r="X130"/>
      <c r="Y130" s="104"/>
      <c r="Z130" s="104"/>
      <c r="AA130" s="104"/>
      <c r="AB130" s="104"/>
      <c r="AC130" s="104"/>
      <c r="AD130" s="104"/>
      <c r="AE130" s="104"/>
      <c r="AF130" s="104"/>
      <c r="AG130" s="104"/>
      <c r="AH130" s="104"/>
      <c r="AI130" s="104"/>
      <c r="AJ130" s="104"/>
      <c r="AK130" s="104"/>
      <c r="AL130" s="147"/>
      <c r="AM130" s="146"/>
      <c r="AN130" s="542">
        <v>70</v>
      </c>
      <c r="AO130" s="734"/>
      <c r="AP130" s="673"/>
      <c r="AQ130"/>
      <c r="AR130" s="104"/>
      <c r="AS130" s="104"/>
      <c r="AT130" s="104"/>
      <c r="AU130" s="104"/>
      <c r="AV130" s="104"/>
      <c r="AW130" s="104"/>
      <c r="AX130" s="104"/>
      <c r="AY130" s="104"/>
      <c r="AZ130" s="104"/>
      <c r="BA130" s="104"/>
      <c r="BB130" s="104"/>
      <c r="BC130" s="104"/>
      <c r="BD130" s="104"/>
      <c r="BE130" s="147"/>
      <c r="BF130" s="146"/>
      <c r="BG130" s="542">
        <v>70</v>
      </c>
      <c r="BH130" s="734"/>
      <c r="BI130" s="673"/>
      <c r="BJ130"/>
      <c r="BK130" s="104"/>
      <c r="BL130" s="104"/>
      <c r="BM130" s="104"/>
      <c r="BN130" s="104"/>
      <c r="BO130" s="104"/>
      <c r="BP130" s="104"/>
      <c r="BQ130" s="104"/>
      <c r="BR130" s="104"/>
      <c r="BS130" s="104"/>
      <c r="BT130" s="104"/>
      <c r="BU130" s="104"/>
      <c r="BV130" s="104"/>
      <c r="BW130" s="104"/>
      <c r="BX130" s="147"/>
    </row>
    <row r="131" spans="1:76">
      <c r="A131" s="146"/>
      <c r="B131" s="542">
        <v>71</v>
      </c>
      <c r="C131" s="734"/>
      <c r="D131" s="673"/>
      <c r="E131"/>
      <c r="F131" s="104"/>
      <c r="G131" s="104"/>
      <c r="H131" s="104"/>
      <c r="I131" s="104"/>
      <c r="J131" s="104"/>
      <c r="K131" s="104"/>
      <c r="L131" s="104"/>
      <c r="M131" s="104"/>
      <c r="N131" s="104"/>
      <c r="O131" s="104"/>
      <c r="P131" s="104"/>
      <c r="Q131" s="104"/>
      <c r="R131" s="104"/>
      <c r="S131" s="147"/>
      <c r="T131" s="146"/>
      <c r="U131" s="542">
        <v>71</v>
      </c>
      <c r="V131" s="734"/>
      <c r="W131" s="673"/>
      <c r="X131"/>
      <c r="Y131" s="104"/>
      <c r="Z131" s="104"/>
      <c r="AA131" s="104"/>
      <c r="AB131" s="104"/>
      <c r="AC131" s="104"/>
      <c r="AD131" s="104"/>
      <c r="AE131" s="104"/>
      <c r="AF131" s="104"/>
      <c r="AG131" s="104"/>
      <c r="AH131" s="104"/>
      <c r="AI131" s="104"/>
      <c r="AJ131" s="104"/>
      <c r="AK131" s="104"/>
      <c r="AL131" s="147"/>
      <c r="AM131" s="146"/>
      <c r="AN131" s="542">
        <v>71</v>
      </c>
      <c r="AO131" s="734"/>
      <c r="AP131" s="673"/>
      <c r="AQ131"/>
      <c r="AR131" s="104"/>
      <c r="AS131" s="104"/>
      <c r="AT131" s="104"/>
      <c r="AU131" s="104"/>
      <c r="AV131" s="104"/>
      <c r="AW131" s="104"/>
      <c r="AX131" s="104"/>
      <c r="AY131" s="104"/>
      <c r="AZ131" s="104"/>
      <c r="BA131" s="104"/>
      <c r="BB131" s="104"/>
      <c r="BC131" s="104"/>
      <c r="BD131" s="104"/>
      <c r="BE131" s="147"/>
      <c r="BF131" s="146"/>
      <c r="BG131" s="542">
        <v>71</v>
      </c>
      <c r="BH131" s="734"/>
      <c r="BI131" s="673"/>
      <c r="BJ131"/>
      <c r="BK131" s="104"/>
      <c r="BL131" s="104"/>
      <c r="BM131" s="104"/>
      <c r="BN131" s="104"/>
      <c r="BO131" s="104"/>
      <c r="BP131" s="104"/>
      <c r="BQ131" s="104"/>
      <c r="BR131" s="104"/>
      <c r="BS131" s="104"/>
      <c r="BT131" s="104"/>
      <c r="BU131" s="104"/>
      <c r="BV131" s="104"/>
      <c r="BW131" s="104"/>
      <c r="BX131" s="147"/>
    </row>
    <row r="132" spans="1:76">
      <c r="A132" s="146"/>
      <c r="B132" s="542">
        <v>72</v>
      </c>
      <c r="C132" s="734"/>
      <c r="D132" s="673"/>
      <c r="E132"/>
      <c r="F132" s="104"/>
      <c r="G132" s="104"/>
      <c r="H132" s="104"/>
      <c r="I132" s="104"/>
      <c r="J132" s="104"/>
      <c r="K132" s="104"/>
      <c r="L132" s="104"/>
      <c r="M132" s="104"/>
      <c r="N132" s="104"/>
      <c r="O132" s="104"/>
      <c r="P132" s="104"/>
      <c r="Q132" s="104"/>
      <c r="R132" s="104"/>
      <c r="S132" s="147"/>
      <c r="T132" s="146"/>
      <c r="U132" s="542">
        <v>72</v>
      </c>
      <c r="V132" s="734"/>
      <c r="W132" s="673"/>
      <c r="X132"/>
      <c r="Y132" s="104"/>
      <c r="Z132" s="104"/>
      <c r="AA132" s="104"/>
      <c r="AB132" s="104"/>
      <c r="AC132" s="104"/>
      <c r="AD132" s="104"/>
      <c r="AE132" s="104"/>
      <c r="AF132" s="104"/>
      <c r="AG132" s="104"/>
      <c r="AH132" s="104"/>
      <c r="AI132" s="104"/>
      <c r="AJ132" s="104"/>
      <c r="AK132" s="104"/>
      <c r="AL132" s="147"/>
      <c r="AM132" s="146"/>
      <c r="AN132" s="542">
        <v>72</v>
      </c>
      <c r="AO132" s="734"/>
      <c r="AP132" s="673"/>
      <c r="AQ132"/>
      <c r="AR132" s="104"/>
      <c r="AS132" s="104"/>
      <c r="AT132" s="104"/>
      <c r="AU132" s="104"/>
      <c r="AV132" s="104"/>
      <c r="AW132" s="104"/>
      <c r="AX132" s="104"/>
      <c r="AY132" s="104"/>
      <c r="AZ132" s="104"/>
      <c r="BA132" s="104"/>
      <c r="BB132" s="104"/>
      <c r="BC132" s="104"/>
      <c r="BD132" s="104"/>
      <c r="BE132" s="147"/>
      <c r="BF132" s="146"/>
      <c r="BG132" s="542">
        <v>72</v>
      </c>
      <c r="BH132" s="734"/>
      <c r="BI132" s="673"/>
      <c r="BJ132"/>
      <c r="BK132" s="104"/>
      <c r="BL132" s="104"/>
      <c r="BM132" s="104"/>
      <c r="BN132" s="104"/>
      <c r="BO132" s="104"/>
      <c r="BP132" s="104"/>
      <c r="BQ132" s="104"/>
      <c r="BR132" s="104"/>
      <c r="BS132" s="104"/>
      <c r="BT132" s="104"/>
      <c r="BU132" s="104"/>
      <c r="BV132" s="104"/>
      <c r="BW132" s="104"/>
      <c r="BX132" s="147"/>
    </row>
    <row r="133" spans="1:76">
      <c r="A133" s="146"/>
      <c r="B133" s="542">
        <v>73</v>
      </c>
      <c r="C133" s="734"/>
      <c r="D133" s="673"/>
      <c r="E133"/>
      <c r="F133" s="104"/>
      <c r="G133" s="104"/>
      <c r="H133" s="104"/>
      <c r="I133" s="104"/>
      <c r="J133" s="104"/>
      <c r="K133" s="104"/>
      <c r="L133" s="104"/>
      <c r="M133" s="104"/>
      <c r="N133" s="104"/>
      <c r="O133" s="104"/>
      <c r="P133" s="104"/>
      <c r="Q133" s="104"/>
      <c r="R133" s="104"/>
      <c r="S133" s="147"/>
      <c r="T133" s="146"/>
      <c r="U133" s="542">
        <v>73</v>
      </c>
      <c r="V133" s="734"/>
      <c r="W133" s="673"/>
      <c r="X133"/>
      <c r="Y133" s="104"/>
      <c r="Z133" s="104"/>
      <c r="AA133" s="104"/>
      <c r="AB133" s="104"/>
      <c r="AC133" s="104"/>
      <c r="AD133" s="104"/>
      <c r="AE133" s="104"/>
      <c r="AF133" s="104"/>
      <c r="AG133" s="104"/>
      <c r="AH133" s="104"/>
      <c r="AI133" s="104"/>
      <c r="AJ133" s="104"/>
      <c r="AK133" s="104"/>
      <c r="AL133" s="147"/>
      <c r="AM133" s="146"/>
      <c r="AN133" s="542">
        <v>73</v>
      </c>
      <c r="AO133" s="734"/>
      <c r="AP133" s="673"/>
      <c r="AQ133"/>
      <c r="AR133" s="104"/>
      <c r="AS133" s="104"/>
      <c r="AT133" s="104"/>
      <c r="AU133" s="104"/>
      <c r="AV133" s="104"/>
      <c r="AW133" s="104"/>
      <c r="AX133" s="104"/>
      <c r="AY133" s="104"/>
      <c r="AZ133" s="104"/>
      <c r="BA133" s="104"/>
      <c r="BB133" s="104"/>
      <c r="BC133" s="104"/>
      <c r="BD133" s="104"/>
      <c r="BE133" s="147"/>
      <c r="BF133" s="146"/>
      <c r="BG133" s="542">
        <v>73</v>
      </c>
      <c r="BH133" s="734"/>
      <c r="BI133" s="673"/>
      <c r="BJ133"/>
      <c r="BK133" s="104"/>
      <c r="BL133" s="104"/>
      <c r="BM133" s="104"/>
      <c r="BN133" s="104"/>
      <c r="BO133" s="104"/>
      <c r="BP133" s="104"/>
      <c r="BQ133" s="104"/>
      <c r="BR133" s="104"/>
      <c r="BS133" s="104"/>
      <c r="BT133" s="104"/>
      <c r="BU133" s="104"/>
      <c r="BV133" s="104"/>
      <c r="BW133" s="104"/>
      <c r="BX133" s="147"/>
    </row>
    <row r="134" spans="1:76">
      <c r="A134" s="146"/>
      <c r="B134" s="542">
        <v>74</v>
      </c>
      <c r="C134" s="734"/>
      <c r="D134" s="673"/>
      <c r="E134"/>
      <c r="F134" s="104"/>
      <c r="G134" s="104"/>
      <c r="H134" s="104"/>
      <c r="I134" s="104"/>
      <c r="J134" s="104"/>
      <c r="K134" s="104"/>
      <c r="L134" s="104"/>
      <c r="M134" s="104"/>
      <c r="N134" s="104"/>
      <c r="O134" s="104"/>
      <c r="P134" s="104"/>
      <c r="Q134" s="104"/>
      <c r="R134" s="104"/>
      <c r="S134" s="147"/>
      <c r="T134" s="146"/>
      <c r="U134" s="542">
        <v>74</v>
      </c>
      <c r="V134" s="734"/>
      <c r="W134" s="673"/>
      <c r="X134"/>
      <c r="Y134" s="104"/>
      <c r="Z134" s="104"/>
      <c r="AA134" s="104"/>
      <c r="AB134" s="104"/>
      <c r="AC134" s="104"/>
      <c r="AD134" s="104"/>
      <c r="AE134" s="104"/>
      <c r="AF134" s="104"/>
      <c r="AG134" s="104"/>
      <c r="AH134" s="104"/>
      <c r="AI134" s="104"/>
      <c r="AJ134" s="104"/>
      <c r="AK134" s="104"/>
      <c r="AL134" s="147"/>
      <c r="AM134" s="146"/>
      <c r="AN134" s="542">
        <v>74</v>
      </c>
      <c r="AO134" s="734"/>
      <c r="AP134" s="673"/>
      <c r="AQ134"/>
      <c r="AR134" s="104"/>
      <c r="AS134" s="104"/>
      <c r="AT134" s="104"/>
      <c r="AU134" s="104"/>
      <c r="AV134" s="104"/>
      <c r="AW134" s="104"/>
      <c r="AX134" s="104"/>
      <c r="AY134" s="104"/>
      <c r="AZ134" s="104"/>
      <c r="BA134" s="104"/>
      <c r="BB134" s="104"/>
      <c r="BC134" s="104"/>
      <c r="BD134" s="104"/>
      <c r="BE134" s="147"/>
      <c r="BF134" s="146"/>
      <c r="BG134" s="542">
        <v>74</v>
      </c>
      <c r="BH134" s="734"/>
      <c r="BI134" s="673"/>
      <c r="BJ134"/>
      <c r="BK134" s="104"/>
      <c r="BL134" s="104"/>
      <c r="BM134" s="104"/>
      <c r="BN134" s="104"/>
      <c r="BO134" s="104"/>
      <c r="BP134" s="104"/>
      <c r="BQ134" s="104"/>
      <c r="BR134" s="104"/>
      <c r="BS134" s="104"/>
      <c r="BT134" s="104"/>
      <c r="BU134" s="104"/>
      <c r="BV134" s="104"/>
      <c r="BW134" s="104"/>
      <c r="BX134" s="147"/>
    </row>
    <row r="135" spans="1:76">
      <c r="A135" s="146"/>
      <c r="B135" s="542">
        <v>75</v>
      </c>
      <c r="C135" s="734"/>
      <c r="D135" s="673"/>
      <c r="E135"/>
      <c r="F135" s="104"/>
      <c r="G135" s="104"/>
      <c r="H135" s="104"/>
      <c r="I135" s="104"/>
      <c r="J135" s="104"/>
      <c r="K135" s="104"/>
      <c r="L135" s="104"/>
      <c r="M135" s="104"/>
      <c r="N135" s="104"/>
      <c r="O135" s="104"/>
      <c r="P135" s="104"/>
      <c r="Q135" s="104"/>
      <c r="R135" s="104"/>
      <c r="S135" s="147"/>
      <c r="T135" s="146"/>
      <c r="U135" s="542">
        <v>75</v>
      </c>
      <c r="V135" s="734"/>
      <c r="W135" s="673"/>
      <c r="X135"/>
      <c r="Y135" s="104"/>
      <c r="Z135" s="104"/>
      <c r="AA135" s="104"/>
      <c r="AB135" s="104"/>
      <c r="AC135" s="104"/>
      <c r="AD135" s="104"/>
      <c r="AE135" s="104"/>
      <c r="AF135" s="104"/>
      <c r="AG135" s="104"/>
      <c r="AH135" s="104"/>
      <c r="AI135" s="104"/>
      <c r="AJ135" s="104"/>
      <c r="AK135" s="104"/>
      <c r="AL135" s="147"/>
      <c r="AM135" s="146"/>
      <c r="AN135" s="542">
        <v>75</v>
      </c>
      <c r="AO135" s="734"/>
      <c r="AP135" s="673"/>
      <c r="AQ135"/>
      <c r="AR135" s="104"/>
      <c r="AS135" s="104"/>
      <c r="AT135" s="104"/>
      <c r="AU135" s="104"/>
      <c r="AV135" s="104"/>
      <c r="AW135" s="104"/>
      <c r="AX135" s="104"/>
      <c r="AY135" s="104"/>
      <c r="AZ135" s="104"/>
      <c r="BA135" s="104"/>
      <c r="BB135" s="104"/>
      <c r="BC135" s="104"/>
      <c r="BD135" s="104"/>
      <c r="BE135" s="147"/>
      <c r="BF135" s="146"/>
      <c r="BG135" s="542">
        <v>75</v>
      </c>
      <c r="BH135" s="734"/>
      <c r="BI135" s="673"/>
      <c r="BJ135"/>
      <c r="BK135" s="104"/>
      <c r="BL135" s="104"/>
      <c r="BM135" s="104"/>
      <c r="BN135" s="104"/>
      <c r="BO135" s="104"/>
      <c r="BP135" s="104"/>
      <c r="BQ135" s="104"/>
      <c r="BR135" s="104"/>
      <c r="BS135" s="104"/>
      <c r="BT135" s="104"/>
      <c r="BU135" s="104"/>
      <c r="BV135" s="104"/>
      <c r="BW135" s="104"/>
      <c r="BX135" s="147"/>
    </row>
    <row r="136" spans="1:76">
      <c r="A136" s="146"/>
      <c r="B136" s="542">
        <v>76</v>
      </c>
      <c r="C136" s="734"/>
      <c r="D136" s="673"/>
      <c r="E136"/>
      <c r="F136" s="104"/>
      <c r="G136" s="104"/>
      <c r="H136" s="104"/>
      <c r="I136" s="104"/>
      <c r="J136" s="104"/>
      <c r="K136" s="104"/>
      <c r="L136" s="104"/>
      <c r="M136" s="104"/>
      <c r="N136" s="104"/>
      <c r="O136" s="104"/>
      <c r="P136" s="104"/>
      <c r="Q136" s="104"/>
      <c r="R136" s="104"/>
      <c r="S136" s="147"/>
      <c r="T136" s="146"/>
      <c r="U136" s="542">
        <v>76</v>
      </c>
      <c r="V136" s="734"/>
      <c r="W136" s="673"/>
      <c r="X136"/>
      <c r="Y136" s="104"/>
      <c r="Z136" s="104"/>
      <c r="AA136" s="104"/>
      <c r="AB136" s="104"/>
      <c r="AC136" s="104"/>
      <c r="AD136" s="104"/>
      <c r="AE136" s="104"/>
      <c r="AF136" s="104"/>
      <c r="AG136" s="104"/>
      <c r="AH136" s="104"/>
      <c r="AI136" s="104"/>
      <c r="AJ136" s="104"/>
      <c r="AK136" s="104"/>
      <c r="AL136" s="147"/>
      <c r="AM136" s="146"/>
      <c r="AN136" s="542">
        <v>76</v>
      </c>
      <c r="AO136" s="734"/>
      <c r="AP136" s="673"/>
      <c r="AQ136"/>
      <c r="AR136" s="104"/>
      <c r="AS136" s="104"/>
      <c r="AT136" s="104"/>
      <c r="AU136" s="104"/>
      <c r="AV136" s="104"/>
      <c r="AW136" s="104"/>
      <c r="AX136" s="104"/>
      <c r="AY136" s="104"/>
      <c r="AZ136" s="104"/>
      <c r="BA136" s="104"/>
      <c r="BB136" s="104"/>
      <c r="BC136" s="104"/>
      <c r="BD136" s="104"/>
      <c r="BE136" s="147"/>
      <c r="BF136" s="146"/>
      <c r="BG136" s="542">
        <v>76</v>
      </c>
      <c r="BH136" s="734"/>
      <c r="BI136" s="673"/>
      <c r="BJ136"/>
      <c r="BK136" s="104"/>
      <c r="BL136" s="104"/>
      <c r="BM136" s="104"/>
      <c r="BN136" s="104"/>
      <c r="BO136" s="104"/>
      <c r="BP136" s="104"/>
      <c r="BQ136" s="104"/>
      <c r="BR136" s="104"/>
      <c r="BS136" s="104"/>
      <c r="BT136" s="104"/>
      <c r="BU136" s="104"/>
      <c r="BV136" s="104"/>
      <c r="BW136" s="104"/>
      <c r="BX136" s="147"/>
    </row>
    <row r="137" spans="1:76">
      <c r="A137" s="146"/>
      <c r="B137" s="542">
        <v>77</v>
      </c>
      <c r="C137" s="734"/>
      <c r="D137" s="673"/>
      <c r="E137"/>
      <c r="F137" s="104"/>
      <c r="G137" s="104"/>
      <c r="H137" s="104"/>
      <c r="I137" s="104"/>
      <c r="J137" s="104"/>
      <c r="K137" s="104"/>
      <c r="L137" s="104"/>
      <c r="M137" s="104"/>
      <c r="N137" s="104"/>
      <c r="O137" s="104"/>
      <c r="P137" s="104"/>
      <c r="Q137" s="104"/>
      <c r="R137" s="104"/>
      <c r="S137" s="147"/>
      <c r="T137" s="146"/>
      <c r="U137" s="542">
        <v>77</v>
      </c>
      <c r="V137" s="734"/>
      <c r="W137" s="673"/>
      <c r="X137"/>
      <c r="Y137" s="104"/>
      <c r="Z137" s="104"/>
      <c r="AA137" s="104"/>
      <c r="AB137" s="104"/>
      <c r="AC137" s="104"/>
      <c r="AD137" s="104"/>
      <c r="AE137" s="104"/>
      <c r="AF137" s="104"/>
      <c r="AG137" s="104"/>
      <c r="AH137" s="104"/>
      <c r="AI137" s="104"/>
      <c r="AJ137" s="104"/>
      <c r="AK137" s="104"/>
      <c r="AL137" s="147"/>
      <c r="AM137" s="146"/>
      <c r="AN137" s="542">
        <v>77</v>
      </c>
      <c r="AO137" s="734"/>
      <c r="AP137" s="673"/>
      <c r="AQ137"/>
      <c r="AR137" s="104"/>
      <c r="AS137" s="104"/>
      <c r="AT137" s="104"/>
      <c r="AU137" s="104"/>
      <c r="AV137" s="104"/>
      <c r="AW137" s="104"/>
      <c r="AX137" s="104"/>
      <c r="AY137" s="104"/>
      <c r="AZ137" s="104"/>
      <c r="BA137" s="104"/>
      <c r="BB137" s="104"/>
      <c r="BC137" s="104"/>
      <c r="BD137" s="104"/>
      <c r="BE137" s="147"/>
      <c r="BF137" s="146"/>
      <c r="BG137" s="542">
        <v>77</v>
      </c>
      <c r="BH137" s="734"/>
      <c r="BI137" s="673"/>
      <c r="BJ137"/>
      <c r="BK137" s="104"/>
      <c r="BL137" s="104"/>
      <c r="BM137" s="104"/>
      <c r="BN137" s="104"/>
      <c r="BO137" s="104"/>
      <c r="BP137" s="104"/>
      <c r="BQ137" s="104"/>
      <c r="BR137" s="104"/>
      <c r="BS137" s="104"/>
      <c r="BT137" s="104"/>
      <c r="BU137" s="104"/>
      <c r="BV137" s="104"/>
      <c r="BW137" s="104"/>
      <c r="BX137" s="147"/>
    </row>
    <row r="138" spans="1:76">
      <c r="A138" s="146"/>
      <c r="B138" s="542">
        <v>78</v>
      </c>
      <c r="C138" s="734"/>
      <c r="D138" s="673"/>
      <c r="E138"/>
      <c r="F138" s="104"/>
      <c r="G138" s="104"/>
      <c r="H138" s="104"/>
      <c r="I138" s="104"/>
      <c r="J138" s="104"/>
      <c r="K138" s="104"/>
      <c r="L138" s="104"/>
      <c r="M138" s="104"/>
      <c r="N138" s="104"/>
      <c r="O138" s="104"/>
      <c r="P138" s="104"/>
      <c r="Q138" s="104"/>
      <c r="R138" s="104"/>
      <c r="S138" s="147"/>
      <c r="T138" s="146"/>
      <c r="U138" s="542">
        <v>78</v>
      </c>
      <c r="V138" s="734"/>
      <c r="W138" s="673"/>
      <c r="X138"/>
      <c r="Y138" s="104"/>
      <c r="Z138" s="104"/>
      <c r="AA138" s="104"/>
      <c r="AB138" s="104"/>
      <c r="AC138" s="104"/>
      <c r="AD138" s="104"/>
      <c r="AE138" s="104"/>
      <c r="AF138" s="104"/>
      <c r="AG138" s="104"/>
      <c r="AH138" s="104"/>
      <c r="AI138" s="104"/>
      <c r="AJ138" s="104"/>
      <c r="AK138" s="104"/>
      <c r="AL138" s="147"/>
      <c r="AM138" s="146"/>
      <c r="AN138" s="542">
        <v>78</v>
      </c>
      <c r="AO138" s="734"/>
      <c r="AP138" s="673"/>
      <c r="AQ138"/>
      <c r="AR138" s="104"/>
      <c r="AS138" s="104"/>
      <c r="AT138" s="104"/>
      <c r="AU138" s="104"/>
      <c r="AV138" s="104"/>
      <c r="AW138" s="104"/>
      <c r="AX138" s="104"/>
      <c r="AY138" s="104"/>
      <c r="AZ138" s="104"/>
      <c r="BA138" s="104"/>
      <c r="BB138" s="104"/>
      <c r="BC138" s="104"/>
      <c r="BD138" s="104"/>
      <c r="BE138" s="147"/>
      <c r="BF138" s="146"/>
      <c r="BG138" s="542">
        <v>78</v>
      </c>
      <c r="BH138" s="734"/>
      <c r="BI138" s="673"/>
      <c r="BJ138"/>
      <c r="BK138" s="104"/>
      <c r="BL138" s="104"/>
      <c r="BM138" s="104"/>
      <c r="BN138" s="104"/>
      <c r="BO138" s="104"/>
      <c r="BP138" s="104"/>
      <c r="BQ138" s="104"/>
      <c r="BR138" s="104"/>
      <c r="BS138" s="104"/>
      <c r="BT138" s="104"/>
      <c r="BU138" s="104"/>
      <c r="BV138" s="104"/>
      <c r="BW138" s="104"/>
      <c r="BX138" s="147"/>
    </row>
    <row r="139" spans="1:76">
      <c r="A139" s="146"/>
      <c r="B139" s="542">
        <v>79</v>
      </c>
      <c r="C139" s="734"/>
      <c r="D139" s="673"/>
      <c r="E139"/>
      <c r="F139" s="104"/>
      <c r="G139" s="104"/>
      <c r="H139" s="104"/>
      <c r="I139" s="104"/>
      <c r="J139" s="104"/>
      <c r="K139" s="104"/>
      <c r="L139" s="104"/>
      <c r="M139" s="104"/>
      <c r="N139" s="104"/>
      <c r="O139" s="104"/>
      <c r="P139" s="104"/>
      <c r="Q139" s="104"/>
      <c r="R139" s="104"/>
      <c r="S139" s="147"/>
      <c r="T139" s="146"/>
      <c r="U139" s="542">
        <v>79</v>
      </c>
      <c r="V139" s="734"/>
      <c r="W139" s="673"/>
      <c r="X139"/>
      <c r="Y139" s="104"/>
      <c r="Z139" s="104"/>
      <c r="AA139" s="104"/>
      <c r="AB139" s="104"/>
      <c r="AC139" s="104"/>
      <c r="AD139" s="104"/>
      <c r="AE139" s="104"/>
      <c r="AF139" s="104"/>
      <c r="AG139" s="104"/>
      <c r="AH139" s="104"/>
      <c r="AI139" s="104"/>
      <c r="AJ139" s="104"/>
      <c r="AK139" s="104"/>
      <c r="AL139" s="147"/>
      <c r="AM139" s="146"/>
      <c r="AN139" s="542">
        <v>79</v>
      </c>
      <c r="AO139" s="734"/>
      <c r="AP139" s="673"/>
      <c r="AQ139"/>
      <c r="AR139" s="104"/>
      <c r="AS139" s="104"/>
      <c r="AT139" s="104"/>
      <c r="AU139" s="104"/>
      <c r="AV139" s="104"/>
      <c r="AW139" s="104"/>
      <c r="AX139" s="104"/>
      <c r="AY139" s="104"/>
      <c r="AZ139" s="104"/>
      <c r="BA139" s="104"/>
      <c r="BB139" s="104"/>
      <c r="BC139" s="104"/>
      <c r="BD139" s="104"/>
      <c r="BE139" s="147"/>
      <c r="BF139" s="146"/>
      <c r="BG139" s="542">
        <v>79</v>
      </c>
      <c r="BH139" s="734"/>
      <c r="BI139" s="673"/>
      <c r="BJ139"/>
      <c r="BK139" s="104"/>
      <c r="BL139" s="104"/>
      <c r="BM139" s="104"/>
      <c r="BN139" s="104"/>
      <c r="BO139" s="104"/>
      <c r="BP139" s="104"/>
      <c r="BQ139" s="104"/>
      <c r="BR139" s="104"/>
      <c r="BS139" s="104"/>
      <c r="BT139" s="104"/>
      <c r="BU139" s="104"/>
      <c r="BV139" s="104"/>
      <c r="BW139" s="104"/>
      <c r="BX139" s="147"/>
    </row>
    <row r="140" spans="1:76">
      <c r="A140" s="146"/>
      <c r="B140" s="542">
        <v>80</v>
      </c>
      <c r="C140" s="734"/>
      <c r="D140" s="673"/>
      <c r="E140"/>
      <c r="F140" s="104"/>
      <c r="G140" s="104"/>
      <c r="H140" s="104"/>
      <c r="I140" s="104"/>
      <c r="J140" s="104"/>
      <c r="K140" s="104"/>
      <c r="L140" s="104"/>
      <c r="M140" s="104"/>
      <c r="N140" s="104"/>
      <c r="O140" s="104"/>
      <c r="P140" s="104"/>
      <c r="Q140" s="104"/>
      <c r="R140" s="104"/>
      <c r="S140" s="147"/>
      <c r="T140" s="146"/>
      <c r="U140" s="542">
        <v>80</v>
      </c>
      <c r="V140" s="734"/>
      <c r="W140" s="673"/>
      <c r="X140"/>
      <c r="Y140" s="104"/>
      <c r="Z140" s="104"/>
      <c r="AA140" s="104"/>
      <c r="AB140" s="104"/>
      <c r="AC140" s="104"/>
      <c r="AD140" s="104"/>
      <c r="AE140" s="104"/>
      <c r="AF140" s="104"/>
      <c r="AG140" s="104"/>
      <c r="AH140" s="104"/>
      <c r="AI140" s="104"/>
      <c r="AJ140" s="104"/>
      <c r="AK140" s="104"/>
      <c r="AL140" s="147"/>
      <c r="AM140" s="146"/>
      <c r="AN140" s="542">
        <v>80</v>
      </c>
      <c r="AO140" s="734"/>
      <c r="AP140" s="673"/>
      <c r="AQ140"/>
      <c r="AR140" s="104"/>
      <c r="AS140" s="104"/>
      <c r="AT140" s="104"/>
      <c r="AU140" s="104"/>
      <c r="AV140" s="104"/>
      <c r="AW140" s="104"/>
      <c r="AX140" s="104"/>
      <c r="AY140" s="104"/>
      <c r="AZ140" s="104"/>
      <c r="BA140" s="104"/>
      <c r="BB140" s="104"/>
      <c r="BC140" s="104"/>
      <c r="BD140" s="104"/>
      <c r="BE140" s="147"/>
      <c r="BF140" s="146"/>
      <c r="BG140" s="542">
        <v>80</v>
      </c>
      <c r="BH140" s="734"/>
      <c r="BI140" s="673"/>
      <c r="BJ140"/>
      <c r="BK140" s="104"/>
      <c r="BL140" s="104"/>
      <c r="BM140" s="104"/>
      <c r="BN140" s="104"/>
      <c r="BO140" s="104"/>
      <c r="BP140" s="104"/>
      <c r="BQ140" s="104"/>
      <c r="BR140" s="104"/>
      <c r="BS140" s="104"/>
      <c r="BT140" s="104"/>
      <c r="BU140" s="104"/>
      <c r="BV140" s="104"/>
      <c r="BW140" s="104"/>
      <c r="BX140" s="147"/>
    </row>
    <row r="141" spans="1:76">
      <c r="A141" s="146"/>
      <c r="B141" s="542">
        <v>81</v>
      </c>
      <c r="C141" s="734"/>
      <c r="D141" s="673"/>
      <c r="E141"/>
      <c r="F141" s="104"/>
      <c r="G141" s="104"/>
      <c r="H141" s="104"/>
      <c r="I141" s="104"/>
      <c r="J141" s="104"/>
      <c r="K141" s="104"/>
      <c r="L141" s="104"/>
      <c r="M141" s="104"/>
      <c r="N141" s="104"/>
      <c r="O141" s="104"/>
      <c r="P141" s="104"/>
      <c r="Q141" s="104"/>
      <c r="R141" s="104"/>
      <c r="S141" s="147"/>
      <c r="T141" s="146"/>
      <c r="U141" s="542">
        <v>81</v>
      </c>
      <c r="V141" s="734"/>
      <c r="W141" s="673"/>
      <c r="X141"/>
      <c r="Y141" s="104"/>
      <c r="Z141" s="104"/>
      <c r="AA141" s="104"/>
      <c r="AB141" s="104"/>
      <c r="AC141" s="104"/>
      <c r="AD141" s="104"/>
      <c r="AE141" s="104"/>
      <c r="AF141" s="104"/>
      <c r="AG141" s="104"/>
      <c r="AH141" s="104"/>
      <c r="AI141" s="104"/>
      <c r="AJ141" s="104"/>
      <c r="AK141" s="104"/>
      <c r="AL141" s="147"/>
      <c r="AM141" s="146"/>
      <c r="AN141" s="542">
        <v>81</v>
      </c>
      <c r="AO141" s="734"/>
      <c r="AP141" s="673"/>
      <c r="AQ141"/>
      <c r="AR141" s="104"/>
      <c r="AS141" s="104"/>
      <c r="AT141" s="104"/>
      <c r="AU141" s="104"/>
      <c r="AV141" s="104"/>
      <c r="AW141" s="104"/>
      <c r="AX141" s="104"/>
      <c r="AY141" s="104"/>
      <c r="AZ141" s="104"/>
      <c r="BA141" s="104"/>
      <c r="BB141" s="104"/>
      <c r="BC141" s="104"/>
      <c r="BD141" s="104"/>
      <c r="BE141" s="147"/>
      <c r="BF141" s="146"/>
      <c r="BG141" s="542">
        <v>81</v>
      </c>
      <c r="BH141" s="734"/>
      <c r="BI141" s="673"/>
      <c r="BJ141"/>
      <c r="BK141" s="104"/>
      <c r="BL141" s="104"/>
      <c r="BM141" s="104"/>
      <c r="BN141" s="104"/>
      <c r="BO141" s="104"/>
      <c r="BP141" s="104"/>
      <c r="BQ141" s="104"/>
      <c r="BR141" s="104"/>
      <c r="BS141" s="104"/>
      <c r="BT141" s="104"/>
      <c r="BU141" s="104"/>
      <c r="BV141" s="104"/>
      <c r="BW141" s="104"/>
      <c r="BX141" s="147"/>
    </row>
    <row r="142" spans="1:76">
      <c r="A142" s="146"/>
      <c r="B142" s="542">
        <v>82</v>
      </c>
      <c r="C142" s="734"/>
      <c r="D142" s="673"/>
      <c r="E142"/>
      <c r="F142" s="104"/>
      <c r="G142" s="104"/>
      <c r="H142" s="104"/>
      <c r="I142" s="104"/>
      <c r="J142" s="104"/>
      <c r="K142" s="104"/>
      <c r="L142" s="104"/>
      <c r="M142" s="104"/>
      <c r="N142" s="104"/>
      <c r="O142" s="104"/>
      <c r="P142" s="104"/>
      <c r="Q142" s="104"/>
      <c r="R142" s="104"/>
      <c r="S142" s="147"/>
      <c r="T142" s="146"/>
      <c r="U142" s="542">
        <v>82</v>
      </c>
      <c r="V142" s="734"/>
      <c r="W142" s="673"/>
      <c r="X142"/>
      <c r="Y142" s="104"/>
      <c r="Z142" s="104"/>
      <c r="AA142" s="104"/>
      <c r="AB142" s="104"/>
      <c r="AC142" s="104"/>
      <c r="AD142" s="104"/>
      <c r="AE142" s="104"/>
      <c r="AF142" s="104"/>
      <c r="AG142" s="104"/>
      <c r="AH142" s="104"/>
      <c r="AI142" s="104"/>
      <c r="AJ142" s="104"/>
      <c r="AK142" s="104"/>
      <c r="AL142" s="147"/>
      <c r="AM142" s="146"/>
      <c r="AN142" s="542">
        <v>82</v>
      </c>
      <c r="AO142" s="734"/>
      <c r="AP142" s="673"/>
      <c r="AQ142"/>
      <c r="AR142" s="104"/>
      <c r="AS142" s="104"/>
      <c r="AT142" s="104"/>
      <c r="AU142" s="104"/>
      <c r="AV142" s="104"/>
      <c r="AW142" s="104"/>
      <c r="AX142" s="104"/>
      <c r="AY142" s="104"/>
      <c r="AZ142" s="104"/>
      <c r="BA142" s="104"/>
      <c r="BB142" s="104"/>
      <c r="BC142" s="104"/>
      <c r="BD142" s="104"/>
      <c r="BE142" s="147"/>
      <c r="BF142" s="146"/>
      <c r="BG142" s="542">
        <v>82</v>
      </c>
      <c r="BH142" s="734"/>
      <c r="BI142" s="673"/>
      <c r="BJ142"/>
      <c r="BK142" s="104"/>
      <c r="BL142" s="104"/>
      <c r="BM142" s="104"/>
      <c r="BN142" s="104"/>
      <c r="BO142" s="104"/>
      <c r="BP142" s="104"/>
      <c r="BQ142" s="104"/>
      <c r="BR142" s="104"/>
      <c r="BS142" s="104"/>
      <c r="BT142" s="104"/>
      <c r="BU142" s="104"/>
      <c r="BV142" s="104"/>
      <c r="BW142" s="104"/>
      <c r="BX142" s="147"/>
    </row>
    <row r="143" spans="1:76">
      <c r="A143" s="146"/>
      <c r="B143" s="542">
        <v>83</v>
      </c>
      <c r="C143" s="734"/>
      <c r="D143" s="673"/>
      <c r="E143"/>
      <c r="F143" s="104"/>
      <c r="G143" s="104"/>
      <c r="H143" s="104"/>
      <c r="I143" s="104"/>
      <c r="J143" s="104"/>
      <c r="K143" s="104"/>
      <c r="L143" s="104"/>
      <c r="M143" s="104"/>
      <c r="N143" s="104"/>
      <c r="O143" s="104"/>
      <c r="P143" s="104"/>
      <c r="Q143" s="104"/>
      <c r="R143" s="104"/>
      <c r="S143" s="147"/>
      <c r="T143" s="146"/>
      <c r="U143" s="542">
        <v>83</v>
      </c>
      <c r="V143" s="734"/>
      <c r="W143" s="673"/>
      <c r="X143"/>
      <c r="Y143" s="104"/>
      <c r="Z143" s="104"/>
      <c r="AA143" s="104"/>
      <c r="AB143" s="104"/>
      <c r="AC143" s="104"/>
      <c r="AD143" s="104"/>
      <c r="AE143" s="104"/>
      <c r="AF143" s="104"/>
      <c r="AG143" s="104"/>
      <c r="AH143" s="104"/>
      <c r="AI143" s="104"/>
      <c r="AJ143" s="104"/>
      <c r="AK143" s="104"/>
      <c r="AL143" s="147"/>
      <c r="AM143" s="146"/>
      <c r="AN143" s="542">
        <v>83</v>
      </c>
      <c r="AO143" s="734"/>
      <c r="AP143" s="673"/>
      <c r="AQ143"/>
      <c r="AR143" s="104"/>
      <c r="AS143" s="104"/>
      <c r="AT143" s="104"/>
      <c r="AU143" s="104"/>
      <c r="AV143" s="104"/>
      <c r="AW143" s="104"/>
      <c r="AX143" s="104"/>
      <c r="AY143" s="104"/>
      <c r="AZ143" s="104"/>
      <c r="BA143" s="104"/>
      <c r="BB143" s="104"/>
      <c r="BC143" s="104"/>
      <c r="BD143" s="104"/>
      <c r="BE143" s="147"/>
      <c r="BF143" s="146"/>
      <c r="BG143" s="542">
        <v>83</v>
      </c>
      <c r="BH143" s="734"/>
      <c r="BI143" s="673"/>
      <c r="BJ143"/>
      <c r="BK143" s="104"/>
      <c r="BL143" s="104"/>
      <c r="BM143" s="104"/>
      <c r="BN143" s="104"/>
      <c r="BO143" s="104"/>
      <c r="BP143" s="104"/>
      <c r="BQ143" s="104"/>
      <c r="BR143" s="104"/>
      <c r="BS143" s="104"/>
      <c r="BT143" s="104"/>
      <c r="BU143" s="104"/>
      <c r="BV143" s="104"/>
      <c r="BW143" s="104"/>
      <c r="BX143" s="147"/>
    </row>
    <row r="144" spans="1:76">
      <c r="A144" s="146"/>
      <c r="B144" s="542">
        <v>84</v>
      </c>
      <c r="C144" s="734"/>
      <c r="D144" s="673"/>
      <c r="E144"/>
      <c r="F144" s="104"/>
      <c r="G144" s="104"/>
      <c r="H144" s="104"/>
      <c r="I144" s="104"/>
      <c r="J144" s="104"/>
      <c r="K144" s="104"/>
      <c r="L144" s="104"/>
      <c r="M144" s="104"/>
      <c r="N144" s="104"/>
      <c r="O144" s="104"/>
      <c r="P144" s="104"/>
      <c r="Q144" s="104"/>
      <c r="R144" s="104"/>
      <c r="S144" s="147"/>
      <c r="T144" s="146"/>
      <c r="U144" s="542">
        <v>84</v>
      </c>
      <c r="V144" s="734"/>
      <c r="W144" s="673"/>
      <c r="X144"/>
      <c r="Y144" s="104"/>
      <c r="Z144" s="104"/>
      <c r="AA144" s="104"/>
      <c r="AB144" s="104"/>
      <c r="AC144" s="104"/>
      <c r="AD144" s="104"/>
      <c r="AE144" s="104"/>
      <c r="AF144" s="104"/>
      <c r="AG144" s="104"/>
      <c r="AH144" s="104"/>
      <c r="AI144" s="104"/>
      <c r="AJ144" s="104"/>
      <c r="AK144" s="104"/>
      <c r="AL144" s="147"/>
      <c r="AM144" s="146"/>
      <c r="AN144" s="542">
        <v>84</v>
      </c>
      <c r="AO144" s="734"/>
      <c r="AP144" s="673"/>
      <c r="AQ144"/>
      <c r="AR144" s="104"/>
      <c r="AS144" s="104"/>
      <c r="AT144" s="104"/>
      <c r="AU144" s="104"/>
      <c r="AV144" s="104"/>
      <c r="AW144" s="104"/>
      <c r="AX144" s="104"/>
      <c r="AY144" s="104"/>
      <c r="AZ144" s="104"/>
      <c r="BA144" s="104"/>
      <c r="BB144" s="104"/>
      <c r="BC144" s="104"/>
      <c r="BD144" s="104"/>
      <c r="BE144" s="147"/>
      <c r="BF144" s="146"/>
      <c r="BG144" s="542">
        <v>84</v>
      </c>
      <c r="BH144" s="734"/>
      <c r="BI144" s="673"/>
      <c r="BJ144"/>
      <c r="BK144" s="104"/>
      <c r="BL144" s="104"/>
      <c r="BM144" s="104"/>
      <c r="BN144" s="104"/>
      <c r="BO144" s="104"/>
      <c r="BP144" s="104"/>
      <c r="BQ144" s="104"/>
      <c r="BR144" s="104"/>
      <c r="BS144" s="104"/>
      <c r="BT144" s="104"/>
      <c r="BU144" s="104"/>
      <c r="BV144" s="104"/>
      <c r="BW144" s="104"/>
      <c r="BX144" s="147"/>
    </row>
    <row r="145" spans="1:76">
      <c r="A145" s="146"/>
      <c r="B145" s="542">
        <v>85</v>
      </c>
      <c r="C145" s="734"/>
      <c r="D145" s="673"/>
      <c r="E145"/>
      <c r="F145" s="104"/>
      <c r="G145" s="104"/>
      <c r="H145" s="104"/>
      <c r="I145" s="104"/>
      <c r="J145" s="104"/>
      <c r="K145" s="104"/>
      <c r="L145" s="104"/>
      <c r="M145" s="104"/>
      <c r="N145" s="104"/>
      <c r="O145" s="104"/>
      <c r="P145" s="104"/>
      <c r="Q145" s="104"/>
      <c r="R145" s="104"/>
      <c r="S145" s="147"/>
      <c r="T145" s="146"/>
      <c r="U145" s="542">
        <v>85</v>
      </c>
      <c r="V145" s="734"/>
      <c r="W145" s="673"/>
      <c r="X145"/>
      <c r="Y145" s="104"/>
      <c r="Z145" s="104"/>
      <c r="AA145" s="104"/>
      <c r="AB145" s="104"/>
      <c r="AC145" s="104"/>
      <c r="AD145" s="104"/>
      <c r="AE145" s="104"/>
      <c r="AF145" s="104"/>
      <c r="AG145" s="104"/>
      <c r="AH145" s="104"/>
      <c r="AI145" s="104"/>
      <c r="AJ145" s="104"/>
      <c r="AK145" s="104"/>
      <c r="AL145" s="147"/>
      <c r="AM145" s="146"/>
      <c r="AN145" s="542">
        <v>85</v>
      </c>
      <c r="AO145" s="734"/>
      <c r="AP145" s="673"/>
      <c r="AQ145"/>
      <c r="AR145" s="104"/>
      <c r="AS145" s="104"/>
      <c r="AT145" s="104"/>
      <c r="AU145" s="104"/>
      <c r="AV145" s="104"/>
      <c r="AW145" s="104"/>
      <c r="AX145" s="104"/>
      <c r="AY145" s="104"/>
      <c r="AZ145" s="104"/>
      <c r="BA145" s="104"/>
      <c r="BB145" s="104"/>
      <c r="BC145" s="104"/>
      <c r="BD145" s="104"/>
      <c r="BE145" s="147"/>
      <c r="BF145" s="146"/>
      <c r="BG145" s="542">
        <v>85</v>
      </c>
      <c r="BH145" s="734"/>
      <c r="BI145" s="673"/>
      <c r="BJ145"/>
      <c r="BK145" s="104"/>
      <c r="BL145" s="104"/>
      <c r="BM145" s="104"/>
      <c r="BN145" s="104"/>
      <c r="BO145" s="104"/>
      <c r="BP145" s="104"/>
      <c r="BQ145" s="104"/>
      <c r="BR145" s="104"/>
      <c r="BS145" s="104"/>
      <c r="BT145" s="104"/>
      <c r="BU145" s="104"/>
      <c r="BV145" s="104"/>
      <c r="BW145" s="104"/>
      <c r="BX145" s="147"/>
    </row>
    <row r="146" spans="1:76">
      <c r="A146" s="146"/>
      <c r="B146" s="542">
        <v>86</v>
      </c>
      <c r="C146" s="734"/>
      <c r="D146" s="673"/>
      <c r="E146"/>
      <c r="F146" s="104"/>
      <c r="G146" s="104"/>
      <c r="H146" s="104"/>
      <c r="I146" s="104"/>
      <c r="J146" s="104"/>
      <c r="K146" s="104"/>
      <c r="L146" s="104"/>
      <c r="M146" s="104"/>
      <c r="N146" s="104"/>
      <c r="O146" s="104"/>
      <c r="P146" s="104"/>
      <c r="Q146" s="104"/>
      <c r="R146" s="104"/>
      <c r="S146" s="147"/>
      <c r="T146" s="146"/>
      <c r="U146" s="542">
        <v>86</v>
      </c>
      <c r="V146" s="734"/>
      <c r="W146" s="673"/>
      <c r="X146"/>
      <c r="Y146" s="104"/>
      <c r="Z146" s="104"/>
      <c r="AA146" s="104"/>
      <c r="AB146" s="104"/>
      <c r="AC146" s="104"/>
      <c r="AD146" s="104"/>
      <c r="AE146" s="104"/>
      <c r="AF146" s="104"/>
      <c r="AG146" s="104"/>
      <c r="AH146" s="104"/>
      <c r="AI146" s="104"/>
      <c r="AJ146" s="104"/>
      <c r="AK146" s="104"/>
      <c r="AL146" s="147"/>
      <c r="AM146" s="146"/>
      <c r="AN146" s="542">
        <v>86</v>
      </c>
      <c r="AO146" s="734"/>
      <c r="AP146" s="673"/>
      <c r="AQ146"/>
      <c r="AR146" s="104"/>
      <c r="AS146" s="104"/>
      <c r="AT146" s="104"/>
      <c r="AU146" s="104"/>
      <c r="AV146" s="104"/>
      <c r="AW146" s="104"/>
      <c r="AX146" s="104"/>
      <c r="AY146" s="104"/>
      <c r="AZ146" s="104"/>
      <c r="BA146" s="104"/>
      <c r="BB146" s="104"/>
      <c r="BC146" s="104"/>
      <c r="BD146" s="104"/>
      <c r="BE146" s="147"/>
      <c r="BF146" s="146"/>
      <c r="BG146" s="542">
        <v>86</v>
      </c>
      <c r="BH146" s="734"/>
      <c r="BI146" s="673"/>
      <c r="BJ146"/>
      <c r="BK146" s="104"/>
      <c r="BL146" s="104"/>
      <c r="BM146" s="104"/>
      <c r="BN146" s="104"/>
      <c r="BO146" s="104"/>
      <c r="BP146" s="104"/>
      <c r="BQ146" s="104"/>
      <c r="BR146" s="104"/>
      <c r="BS146" s="104"/>
      <c r="BT146" s="104"/>
      <c r="BU146" s="104"/>
      <c r="BV146" s="104"/>
      <c r="BW146" s="104"/>
      <c r="BX146" s="147"/>
    </row>
    <row r="147" spans="1:76">
      <c r="A147" s="146"/>
      <c r="B147" s="542">
        <v>87</v>
      </c>
      <c r="C147" s="734"/>
      <c r="D147" s="673"/>
      <c r="E147"/>
      <c r="F147" s="104"/>
      <c r="G147" s="104"/>
      <c r="H147" s="104"/>
      <c r="I147" s="104"/>
      <c r="J147" s="104"/>
      <c r="K147" s="104"/>
      <c r="L147" s="104"/>
      <c r="M147" s="104"/>
      <c r="N147" s="104"/>
      <c r="O147" s="104"/>
      <c r="P147" s="104"/>
      <c r="Q147" s="104"/>
      <c r="R147" s="104"/>
      <c r="S147" s="147"/>
      <c r="T147" s="146"/>
      <c r="U147" s="542">
        <v>87</v>
      </c>
      <c r="V147" s="734"/>
      <c r="W147" s="673"/>
      <c r="X147"/>
      <c r="Y147" s="104"/>
      <c r="Z147" s="104"/>
      <c r="AA147" s="104"/>
      <c r="AB147" s="104"/>
      <c r="AC147" s="104"/>
      <c r="AD147" s="104"/>
      <c r="AE147" s="104"/>
      <c r="AF147" s="104"/>
      <c r="AG147" s="104"/>
      <c r="AH147" s="104"/>
      <c r="AI147" s="104"/>
      <c r="AJ147" s="104"/>
      <c r="AK147" s="104"/>
      <c r="AL147" s="147"/>
      <c r="AM147" s="146"/>
      <c r="AN147" s="542">
        <v>87</v>
      </c>
      <c r="AO147" s="734"/>
      <c r="AP147" s="673"/>
      <c r="AQ147"/>
      <c r="AR147" s="104"/>
      <c r="AS147" s="104"/>
      <c r="AT147" s="104"/>
      <c r="AU147" s="104"/>
      <c r="AV147" s="104"/>
      <c r="AW147" s="104"/>
      <c r="AX147" s="104"/>
      <c r="AY147" s="104"/>
      <c r="AZ147" s="104"/>
      <c r="BA147" s="104"/>
      <c r="BB147" s="104"/>
      <c r="BC147" s="104"/>
      <c r="BD147" s="104"/>
      <c r="BE147" s="147"/>
      <c r="BF147" s="146"/>
      <c r="BG147" s="542">
        <v>87</v>
      </c>
      <c r="BH147" s="734"/>
      <c r="BI147" s="673"/>
      <c r="BJ147"/>
      <c r="BK147" s="104"/>
      <c r="BL147" s="104"/>
      <c r="BM147" s="104"/>
      <c r="BN147" s="104"/>
      <c r="BO147" s="104"/>
      <c r="BP147" s="104"/>
      <c r="BQ147" s="104"/>
      <c r="BR147" s="104"/>
      <c r="BS147" s="104"/>
      <c r="BT147" s="104"/>
      <c r="BU147" s="104"/>
      <c r="BV147" s="104"/>
      <c r="BW147" s="104"/>
      <c r="BX147" s="147"/>
    </row>
    <row r="148" spans="1:76">
      <c r="A148" s="146"/>
      <c r="B148" s="542">
        <v>88</v>
      </c>
      <c r="C148" s="734"/>
      <c r="D148" s="673"/>
      <c r="E148"/>
      <c r="F148" s="104"/>
      <c r="G148" s="104"/>
      <c r="H148" s="104"/>
      <c r="I148" s="104"/>
      <c r="J148" s="104"/>
      <c r="K148" s="104"/>
      <c r="L148" s="104"/>
      <c r="M148" s="104"/>
      <c r="N148" s="104"/>
      <c r="O148" s="104"/>
      <c r="P148" s="104"/>
      <c r="Q148" s="104"/>
      <c r="R148" s="104"/>
      <c r="S148" s="147"/>
      <c r="T148" s="146"/>
      <c r="U148" s="542">
        <v>88</v>
      </c>
      <c r="V148" s="734"/>
      <c r="W148" s="673"/>
      <c r="X148"/>
      <c r="Y148" s="104"/>
      <c r="Z148" s="104"/>
      <c r="AA148" s="104"/>
      <c r="AB148" s="104"/>
      <c r="AC148" s="104"/>
      <c r="AD148" s="104"/>
      <c r="AE148" s="104"/>
      <c r="AF148" s="104"/>
      <c r="AG148" s="104"/>
      <c r="AH148" s="104"/>
      <c r="AI148" s="104"/>
      <c r="AJ148" s="104"/>
      <c r="AK148" s="104"/>
      <c r="AL148" s="147"/>
      <c r="AM148" s="146"/>
      <c r="AN148" s="542">
        <v>88</v>
      </c>
      <c r="AO148" s="734"/>
      <c r="AP148" s="673"/>
      <c r="AQ148"/>
      <c r="AR148" s="104"/>
      <c r="AS148" s="104"/>
      <c r="AT148" s="104"/>
      <c r="AU148" s="104"/>
      <c r="AV148" s="104"/>
      <c r="AW148" s="104"/>
      <c r="AX148" s="104"/>
      <c r="AY148" s="104"/>
      <c r="AZ148" s="104"/>
      <c r="BA148" s="104"/>
      <c r="BB148" s="104"/>
      <c r="BC148" s="104"/>
      <c r="BD148" s="104"/>
      <c r="BE148" s="147"/>
      <c r="BF148" s="146"/>
      <c r="BG148" s="542">
        <v>88</v>
      </c>
      <c r="BH148" s="734"/>
      <c r="BI148" s="673"/>
      <c r="BJ148"/>
      <c r="BK148" s="104"/>
      <c r="BL148" s="104"/>
      <c r="BM148" s="104"/>
      <c r="BN148" s="104"/>
      <c r="BO148" s="104"/>
      <c r="BP148" s="104"/>
      <c r="BQ148" s="104"/>
      <c r="BR148" s="104"/>
      <c r="BS148" s="104"/>
      <c r="BT148" s="104"/>
      <c r="BU148" s="104"/>
      <c r="BV148" s="104"/>
      <c r="BW148" s="104"/>
      <c r="BX148" s="147"/>
    </row>
    <row r="149" spans="1:76">
      <c r="A149" s="146"/>
      <c r="B149" s="542">
        <v>89</v>
      </c>
      <c r="C149" s="734"/>
      <c r="D149" s="673"/>
      <c r="E149"/>
      <c r="F149" s="104"/>
      <c r="G149" s="104"/>
      <c r="H149" s="104"/>
      <c r="I149" s="104"/>
      <c r="J149" s="104"/>
      <c r="K149" s="104"/>
      <c r="L149" s="104"/>
      <c r="M149" s="104"/>
      <c r="N149" s="104"/>
      <c r="O149" s="104"/>
      <c r="P149" s="104"/>
      <c r="Q149" s="104"/>
      <c r="R149" s="104"/>
      <c r="S149" s="147"/>
      <c r="T149" s="146"/>
      <c r="U149" s="542">
        <v>89</v>
      </c>
      <c r="V149" s="734"/>
      <c r="W149" s="673"/>
      <c r="X149"/>
      <c r="Y149" s="104"/>
      <c r="Z149" s="104"/>
      <c r="AA149" s="104"/>
      <c r="AB149" s="104"/>
      <c r="AC149" s="104"/>
      <c r="AD149" s="104"/>
      <c r="AE149" s="104"/>
      <c r="AF149" s="104"/>
      <c r="AG149" s="104"/>
      <c r="AH149" s="104"/>
      <c r="AI149" s="104"/>
      <c r="AJ149" s="104"/>
      <c r="AK149" s="104"/>
      <c r="AL149" s="147"/>
      <c r="AM149" s="146"/>
      <c r="AN149" s="542">
        <v>89</v>
      </c>
      <c r="AO149" s="734"/>
      <c r="AP149" s="673"/>
      <c r="AQ149"/>
      <c r="AR149" s="104"/>
      <c r="AS149" s="104"/>
      <c r="AT149" s="104"/>
      <c r="AU149" s="104"/>
      <c r="AV149" s="104"/>
      <c r="AW149" s="104"/>
      <c r="AX149" s="104"/>
      <c r="AY149" s="104"/>
      <c r="AZ149" s="104"/>
      <c r="BA149" s="104"/>
      <c r="BB149" s="104"/>
      <c r="BC149" s="104"/>
      <c r="BD149" s="104"/>
      <c r="BE149" s="147"/>
      <c r="BF149" s="146"/>
      <c r="BG149" s="542">
        <v>89</v>
      </c>
      <c r="BH149" s="734"/>
      <c r="BI149" s="673"/>
      <c r="BJ149"/>
      <c r="BK149" s="104"/>
      <c r="BL149" s="104"/>
      <c r="BM149" s="104"/>
      <c r="BN149" s="104"/>
      <c r="BO149" s="104"/>
      <c r="BP149" s="104"/>
      <c r="BQ149" s="104"/>
      <c r="BR149" s="104"/>
      <c r="BS149" s="104"/>
      <c r="BT149" s="104"/>
      <c r="BU149" s="104"/>
      <c r="BV149" s="104"/>
      <c r="BW149" s="104"/>
      <c r="BX149" s="147"/>
    </row>
    <row r="150" spans="1:76">
      <c r="A150" s="146"/>
      <c r="B150" s="542">
        <v>90</v>
      </c>
      <c r="C150" s="734"/>
      <c r="D150" s="673"/>
      <c r="E150"/>
      <c r="F150" s="104"/>
      <c r="G150" s="104"/>
      <c r="H150" s="104"/>
      <c r="I150" s="104"/>
      <c r="J150" s="104"/>
      <c r="K150" s="104"/>
      <c r="L150" s="104"/>
      <c r="M150" s="104"/>
      <c r="N150" s="104"/>
      <c r="O150" s="104"/>
      <c r="P150" s="104"/>
      <c r="Q150" s="104"/>
      <c r="R150" s="104"/>
      <c r="S150" s="147"/>
      <c r="T150" s="146"/>
      <c r="U150" s="542">
        <v>90</v>
      </c>
      <c r="V150" s="734"/>
      <c r="W150" s="673"/>
      <c r="X150"/>
      <c r="Y150" s="104"/>
      <c r="Z150" s="104"/>
      <c r="AA150" s="104"/>
      <c r="AB150" s="104"/>
      <c r="AC150" s="104"/>
      <c r="AD150" s="104"/>
      <c r="AE150" s="104"/>
      <c r="AF150" s="104"/>
      <c r="AG150" s="104"/>
      <c r="AH150" s="104"/>
      <c r="AI150" s="104"/>
      <c r="AJ150" s="104"/>
      <c r="AK150" s="104"/>
      <c r="AL150" s="147"/>
      <c r="AM150" s="146"/>
      <c r="AN150" s="542">
        <v>90</v>
      </c>
      <c r="AO150" s="734"/>
      <c r="AP150" s="673"/>
      <c r="AQ150"/>
      <c r="AR150" s="104"/>
      <c r="AS150" s="104"/>
      <c r="AT150" s="104"/>
      <c r="AU150" s="104"/>
      <c r="AV150" s="104"/>
      <c r="AW150" s="104"/>
      <c r="AX150" s="104"/>
      <c r="AY150" s="104"/>
      <c r="AZ150" s="104"/>
      <c r="BA150" s="104"/>
      <c r="BB150" s="104"/>
      <c r="BC150" s="104"/>
      <c r="BD150" s="104"/>
      <c r="BE150" s="147"/>
      <c r="BF150" s="146"/>
      <c r="BG150" s="542">
        <v>90</v>
      </c>
      <c r="BH150" s="734"/>
      <c r="BI150" s="673"/>
      <c r="BJ150"/>
      <c r="BK150" s="104"/>
      <c r="BL150" s="104"/>
      <c r="BM150" s="104"/>
      <c r="BN150" s="104"/>
      <c r="BO150" s="104"/>
      <c r="BP150" s="104"/>
      <c r="BQ150" s="104"/>
      <c r="BR150" s="104"/>
      <c r="BS150" s="104"/>
      <c r="BT150" s="104"/>
      <c r="BU150" s="104"/>
      <c r="BV150" s="104"/>
      <c r="BW150" s="104"/>
      <c r="BX150" s="147"/>
    </row>
    <row r="151" spans="1:76">
      <c r="A151" s="146"/>
      <c r="B151" s="542">
        <v>91</v>
      </c>
      <c r="C151" s="734"/>
      <c r="D151" s="673"/>
      <c r="E151"/>
      <c r="F151" s="104"/>
      <c r="G151" s="104"/>
      <c r="H151" s="104"/>
      <c r="I151" s="104"/>
      <c r="J151" s="104"/>
      <c r="K151" s="104"/>
      <c r="L151" s="104"/>
      <c r="M151" s="104"/>
      <c r="N151" s="104"/>
      <c r="O151" s="104"/>
      <c r="P151" s="104"/>
      <c r="Q151" s="104"/>
      <c r="R151" s="104"/>
      <c r="S151" s="147"/>
      <c r="T151" s="146"/>
      <c r="U151" s="542">
        <v>91</v>
      </c>
      <c r="V151" s="734"/>
      <c r="W151" s="673"/>
      <c r="X151"/>
      <c r="Y151" s="104"/>
      <c r="Z151" s="104"/>
      <c r="AA151" s="104"/>
      <c r="AB151" s="104"/>
      <c r="AC151" s="104"/>
      <c r="AD151" s="104"/>
      <c r="AE151" s="104"/>
      <c r="AF151" s="104"/>
      <c r="AG151" s="104"/>
      <c r="AH151" s="104"/>
      <c r="AI151" s="104"/>
      <c r="AJ151" s="104"/>
      <c r="AK151" s="104"/>
      <c r="AL151" s="147"/>
      <c r="AM151" s="146"/>
      <c r="AN151" s="542">
        <v>91</v>
      </c>
      <c r="AO151" s="734"/>
      <c r="AP151" s="673"/>
      <c r="AQ151"/>
      <c r="AR151" s="104"/>
      <c r="AS151" s="104"/>
      <c r="AT151" s="104"/>
      <c r="AU151" s="104"/>
      <c r="AV151" s="104"/>
      <c r="AW151" s="104"/>
      <c r="AX151" s="104"/>
      <c r="AY151" s="104"/>
      <c r="AZ151" s="104"/>
      <c r="BA151" s="104"/>
      <c r="BB151" s="104"/>
      <c r="BC151" s="104"/>
      <c r="BD151" s="104"/>
      <c r="BE151" s="147"/>
      <c r="BF151" s="146"/>
      <c r="BG151" s="542">
        <v>91</v>
      </c>
      <c r="BH151" s="734"/>
      <c r="BI151" s="673"/>
      <c r="BJ151"/>
      <c r="BK151" s="104"/>
      <c r="BL151" s="104"/>
      <c r="BM151" s="104"/>
      <c r="BN151" s="104"/>
      <c r="BO151" s="104"/>
      <c r="BP151" s="104"/>
      <c r="BQ151" s="104"/>
      <c r="BR151" s="104"/>
      <c r="BS151" s="104"/>
      <c r="BT151" s="104"/>
      <c r="BU151" s="104"/>
      <c r="BV151" s="104"/>
      <c r="BW151" s="104"/>
      <c r="BX151" s="147"/>
    </row>
    <row r="152" spans="1:76">
      <c r="A152" s="146"/>
      <c r="B152" s="542">
        <v>92</v>
      </c>
      <c r="C152" s="734"/>
      <c r="D152" s="673"/>
      <c r="E152"/>
      <c r="F152" s="104"/>
      <c r="G152" s="104"/>
      <c r="H152" s="104"/>
      <c r="I152" s="104"/>
      <c r="J152" s="104"/>
      <c r="K152" s="104"/>
      <c r="L152" s="104"/>
      <c r="M152" s="104"/>
      <c r="N152" s="104"/>
      <c r="O152" s="104"/>
      <c r="P152" s="104"/>
      <c r="Q152" s="104"/>
      <c r="R152" s="104"/>
      <c r="S152" s="147"/>
      <c r="T152" s="146"/>
      <c r="U152" s="542">
        <v>92</v>
      </c>
      <c r="V152" s="734"/>
      <c r="W152" s="673"/>
      <c r="X152"/>
      <c r="Y152" s="104"/>
      <c r="Z152" s="104"/>
      <c r="AA152" s="104"/>
      <c r="AB152" s="104"/>
      <c r="AC152" s="104"/>
      <c r="AD152" s="104"/>
      <c r="AE152" s="104"/>
      <c r="AF152" s="104"/>
      <c r="AG152" s="104"/>
      <c r="AH152" s="104"/>
      <c r="AI152" s="104"/>
      <c r="AJ152" s="104"/>
      <c r="AK152" s="104"/>
      <c r="AL152" s="147"/>
      <c r="AM152" s="146"/>
      <c r="AN152" s="542">
        <v>92</v>
      </c>
      <c r="AO152" s="734"/>
      <c r="AP152" s="673"/>
      <c r="AQ152"/>
      <c r="AR152" s="104"/>
      <c r="AS152" s="104"/>
      <c r="AT152" s="104"/>
      <c r="AU152" s="104"/>
      <c r="AV152" s="104"/>
      <c r="AW152" s="104"/>
      <c r="AX152" s="104"/>
      <c r="AY152" s="104"/>
      <c r="AZ152" s="104"/>
      <c r="BA152" s="104"/>
      <c r="BB152" s="104"/>
      <c r="BC152" s="104"/>
      <c r="BD152" s="104"/>
      <c r="BE152" s="147"/>
      <c r="BF152" s="146"/>
      <c r="BG152" s="542">
        <v>92</v>
      </c>
      <c r="BH152" s="734"/>
      <c r="BI152" s="673"/>
      <c r="BJ152"/>
      <c r="BK152" s="104"/>
      <c r="BL152" s="104"/>
      <c r="BM152" s="104"/>
      <c r="BN152" s="104"/>
      <c r="BO152" s="104"/>
      <c r="BP152" s="104"/>
      <c r="BQ152" s="104"/>
      <c r="BR152" s="104"/>
      <c r="BS152" s="104"/>
      <c r="BT152" s="104"/>
      <c r="BU152" s="104"/>
      <c r="BV152" s="104"/>
      <c r="BW152" s="104"/>
      <c r="BX152" s="147"/>
    </row>
    <row r="153" spans="1:76">
      <c r="A153" s="146"/>
      <c r="B153" s="542">
        <v>93</v>
      </c>
      <c r="C153" s="734"/>
      <c r="D153" s="673"/>
      <c r="E153"/>
      <c r="F153" s="104"/>
      <c r="G153" s="104"/>
      <c r="H153" s="104"/>
      <c r="I153" s="104"/>
      <c r="J153" s="104"/>
      <c r="K153" s="104"/>
      <c r="L153" s="104"/>
      <c r="M153" s="104"/>
      <c r="N153" s="104"/>
      <c r="O153" s="104"/>
      <c r="P153" s="104"/>
      <c r="Q153" s="104"/>
      <c r="R153" s="104"/>
      <c r="S153" s="147"/>
      <c r="T153" s="146"/>
      <c r="U153" s="542">
        <v>93</v>
      </c>
      <c r="V153" s="734"/>
      <c r="W153" s="673"/>
      <c r="X153"/>
      <c r="Y153" s="104"/>
      <c r="Z153" s="104"/>
      <c r="AA153" s="104"/>
      <c r="AB153" s="104"/>
      <c r="AC153" s="104"/>
      <c r="AD153" s="104"/>
      <c r="AE153" s="104"/>
      <c r="AF153" s="104"/>
      <c r="AG153" s="104"/>
      <c r="AH153" s="104"/>
      <c r="AI153" s="104"/>
      <c r="AJ153" s="104"/>
      <c r="AK153" s="104"/>
      <c r="AL153" s="147"/>
      <c r="AM153" s="146"/>
      <c r="AN153" s="542">
        <v>93</v>
      </c>
      <c r="AO153" s="734"/>
      <c r="AP153" s="673"/>
      <c r="AQ153"/>
      <c r="AR153" s="104"/>
      <c r="AS153" s="104"/>
      <c r="AT153" s="104"/>
      <c r="AU153" s="104"/>
      <c r="AV153" s="104"/>
      <c r="AW153" s="104"/>
      <c r="AX153" s="104"/>
      <c r="AY153" s="104"/>
      <c r="AZ153" s="104"/>
      <c r="BA153" s="104"/>
      <c r="BB153" s="104"/>
      <c r="BC153" s="104"/>
      <c r="BD153" s="104"/>
      <c r="BE153" s="147"/>
      <c r="BF153" s="146"/>
      <c r="BG153" s="542">
        <v>93</v>
      </c>
      <c r="BH153" s="734"/>
      <c r="BI153" s="673"/>
      <c r="BJ153"/>
      <c r="BK153" s="104"/>
      <c r="BL153" s="104"/>
      <c r="BM153" s="104"/>
      <c r="BN153" s="104"/>
      <c r="BO153" s="104"/>
      <c r="BP153" s="104"/>
      <c r="BQ153" s="104"/>
      <c r="BR153" s="104"/>
      <c r="BS153" s="104"/>
      <c r="BT153" s="104"/>
      <c r="BU153" s="104"/>
      <c r="BV153" s="104"/>
      <c r="BW153" s="104"/>
      <c r="BX153" s="147"/>
    </row>
    <row r="154" spans="1:76">
      <c r="A154" s="146"/>
      <c r="B154" s="542">
        <v>94</v>
      </c>
      <c r="C154" s="734"/>
      <c r="D154" s="673"/>
      <c r="E154"/>
      <c r="F154" s="104"/>
      <c r="G154" s="104"/>
      <c r="H154" s="104"/>
      <c r="I154" s="104"/>
      <c r="J154" s="104"/>
      <c r="K154" s="104"/>
      <c r="L154" s="104"/>
      <c r="M154" s="104"/>
      <c r="N154" s="104"/>
      <c r="O154" s="104"/>
      <c r="P154" s="104"/>
      <c r="Q154" s="104"/>
      <c r="R154" s="104"/>
      <c r="S154" s="147"/>
      <c r="T154" s="146"/>
      <c r="U154" s="542">
        <v>94</v>
      </c>
      <c r="V154" s="734"/>
      <c r="W154" s="673"/>
      <c r="X154"/>
      <c r="Y154" s="104"/>
      <c r="Z154" s="104"/>
      <c r="AA154" s="104"/>
      <c r="AB154" s="104"/>
      <c r="AC154" s="104"/>
      <c r="AD154" s="104"/>
      <c r="AE154" s="104"/>
      <c r="AF154" s="104"/>
      <c r="AG154" s="104"/>
      <c r="AH154" s="104"/>
      <c r="AI154" s="104"/>
      <c r="AJ154" s="104"/>
      <c r="AK154" s="104"/>
      <c r="AL154" s="147"/>
      <c r="AM154" s="146"/>
      <c r="AN154" s="542">
        <v>94</v>
      </c>
      <c r="AO154" s="734"/>
      <c r="AP154" s="673"/>
      <c r="AQ154"/>
      <c r="AR154" s="104"/>
      <c r="AS154" s="104"/>
      <c r="AT154" s="104"/>
      <c r="AU154" s="104"/>
      <c r="AV154" s="104"/>
      <c r="AW154" s="104"/>
      <c r="AX154" s="104"/>
      <c r="AY154" s="104"/>
      <c r="AZ154" s="104"/>
      <c r="BA154" s="104"/>
      <c r="BB154" s="104"/>
      <c r="BC154" s="104"/>
      <c r="BD154" s="104"/>
      <c r="BE154" s="147"/>
      <c r="BF154" s="146"/>
      <c r="BG154" s="542">
        <v>94</v>
      </c>
      <c r="BH154" s="734"/>
      <c r="BI154" s="673"/>
      <c r="BJ154"/>
      <c r="BK154" s="104"/>
      <c r="BL154" s="104"/>
      <c r="BM154" s="104"/>
      <c r="BN154" s="104"/>
      <c r="BO154" s="104"/>
      <c r="BP154" s="104"/>
      <c r="BQ154" s="104"/>
      <c r="BR154" s="104"/>
      <c r="BS154" s="104"/>
      <c r="BT154" s="104"/>
      <c r="BU154" s="104"/>
      <c r="BV154" s="104"/>
      <c r="BW154" s="104"/>
      <c r="BX154" s="147"/>
    </row>
    <row r="155" spans="1:76">
      <c r="A155" s="146"/>
      <c r="B155" s="542">
        <v>95</v>
      </c>
      <c r="C155" s="734"/>
      <c r="D155" s="673"/>
      <c r="E155"/>
      <c r="F155" s="104"/>
      <c r="G155" s="104"/>
      <c r="H155" s="104"/>
      <c r="I155" s="104"/>
      <c r="J155" s="104"/>
      <c r="K155" s="104"/>
      <c r="L155" s="104"/>
      <c r="M155" s="104"/>
      <c r="N155" s="104"/>
      <c r="O155" s="104"/>
      <c r="P155" s="104"/>
      <c r="Q155" s="104"/>
      <c r="R155" s="104"/>
      <c r="S155" s="147"/>
      <c r="T155" s="146"/>
      <c r="U155" s="542">
        <v>95</v>
      </c>
      <c r="V155" s="734"/>
      <c r="W155" s="673"/>
      <c r="X155"/>
      <c r="Y155" s="104"/>
      <c r="Z155" s="104"/>
      <c r="AA155" s="104"/>
      <c r="AB155" s="104"/>
      <c r="AC155" s="104"/>
      <c r="AD155" s="104"/>
      <c r="AE155" s="104"/>
      <c r="AF155" s="104"/>
      <c r="AG155" s="104"/>
      <c r="AH155" s="104"/>
      <c r="AI155" s="104"/>
      <c r="AJ155" s="104"/>
      <c r="AK155" s="104"/>
      <c r="AL155" s="147"/>
      <c r="AM155" s="146"/>
      <c r="AN155" s="542">
        <v>95</v>
      </c>
      <c r="AO155" s="734"/>
      <c r="AP155" s="673"/>
      <c r="AQ155"/>
      <c r="AR155" s="104"/>
      <c r="AS155" s="104"/>
      <c r="AT155" s="104"/>
      <c r="AU155" s="104"/>
      <c r="AV155" s="104"/>
      <c r="AW155" s="104"/>
      <c r="AX155" s="104"/>
      <c r="AY155" s="104"/>
      <c r="AZ155" s="104"/>
      <c r="BA155" s="104"/>
      <c r="BB155" s="104"/>
      <c r="BC155" s="104"/>
      <c r="BD155" s="104"/>
      <c r="BE155" s="147"/>
      <c r="BF155" s="146"/>
      <c r="BG155" s="542">
        <v>95</v>
      </c>
      <c r="BH155" s="734"/>
      <c r="BI155" s="673"/>
      <c r="BJ155"/>
      <c r="BK155" s="104"/>
      <c r="BL155" s="104"/>
      <c r="BM155" s="104"/>
      <c r="BN155" s="104"/>
      <c r="BO155" s="104"/>
      <c r="BP155" s="104"/>
      <c r="BQ155" s="104"/>
      <c r="BR155" s="104"/>
      <c r="BS155" s="104"/>
      <c r="BT155" s="104"/>
      <c r="BU155" s="104"/>
      <c r="BV155" s="104"/>
      <c r="BW155" s="104"/>
      <c r="BX155" s="147"/>
    </row>
    <row r="156" spans="1:76">
      <c r="A156" s="146"/>
      <c r="B156" s="542">
        <v>96</v>
      </c>
      <c r="C156" s="734"/>
      <c r="D156" s="673"/>
      <c r="E156"/>
      <c r="F156" s="104"/>
      <c r="G156" s="104"/>
      <c r="H156" s="104"/>
      <c r="I156" s="104"/>
      <c r="J156" s="104"/>
      <c r="K156" s="104"/>
      <c r="L156" s="104"/>
      <c r="M156" s="104"/>
      <c r="N156" s="104"/>
      <c r="O156" s="104"/>
      <c r="P156" s="104"/>
      <c r="Q156" s="104"/>
      <c r="R156" s="104"/>
      <c r="S156" s="147"/>
      <c r="T156" s="146"/>
      <c r="U156" s="542">
        <v>96</v>
      </c>
      <c r="V156" s="734"/>
      <c r="W156" s="673"/>
      <c r="X156"/>
      <c r="Y156" s="104"/>
      <c r="Z156" s="104"/>
      <c r="AA156" s="104"/>
      <c r="AB156" s="104"/>
      <c r="AC156" s="104"/>
      <c r="AD156" s="104"/>
      <c r="AE156" s="104"/>
      <c r="AF156" s="104"/>
      <c r="AG156" s="104"/>
      <c r="AH156" s="104"/>
      <c r="AI156" s="104"/>
      <c r="AJ156" s="104"/>
      <c r="AK156" s="104"/>
      <c r="AL156" s="147"/>
      <c r="AM156" s="146"/>
      <c r="AN156" s="542">
        <v>96</v>
      </c>
      <c r="AO156" s="734"/>
      <c r="AP156" s="673"/>
      <c r="AQ156"/>
      <c r="AR156" s="104"/>
      <c r="AS156" s="104"/>
      <c r="AT156" s="104"/>
      <c r="AU156" s="104"/>
      <c r="AV156" s="104"/>
      <c r="AW156" s="104"/>
      <c r="AX156" s="104"/>
      <c r="AY156" s="104"/>
      <c r="AZ156" s="104"/>
      <c r="BA156" s="104"/>
      <c r="BB156" s="104"/>
      <c r="BC156" s="104"/>
      <c r="BD156" s="104"/>
      <c r="BE156" s="147"/>
      <c r="BF156" s="146"/>
      <c r="BG156" s="542">
        <v>96</v>
      </c>
      <c r="BH156" s="734"/>
      <c r="BI156" s="673"/>
      <c r="BJ156"/>
      <c r="BK156" s="104"/>
      <c r="BL156" s="104"/>
      <c r="BM156" s="104"/>
      <c r="BN156" s="104"/>
      <c r="BO156" s="104"/>
      <c r="BP156" s="104"/>
      <c r="BQ156" s="104"/>
      <c r="BR156" s="104"/>
      <c r="BS156" s="104"/>
      <c r="BT156" s="104"/>
      <c r="BU156" s="104"/>
      <c r="BV156" s="104"/>
      <c r="BW156" s="104"/>
      <c r="BX156" s="147"/>
    </row>
    <row r="157" spans="1:76">
      <c r="A157" s="146"/>
      <c r="B157" s="542">
        <v>97</v>
      </c>
      <c r="C157" s="734"/>
      <c r="D157" s="673"/>
      <c r="E157"/>
      <c r="F157" s="104"/>
      <c r="G157" s="104"/>
      <c r="H157" s="104"/>
      <c r="I157" s="104"/>
      <c r="J157" s="104"/>
      <c r="K157" s="104"/>
      <c r="L157" s="104"/>
      <c r="M157" s="104"/>
      <c r="N157" s="104"/>
      <c r="O157" s="104"/>
      <c r="P157" s="104"/>
      <c r="Q157" s="104"/>
      <c r="R157" s="104"/>
      <c r="S157" s="147"/>
      <c r="T157" s="146"/>
      <c r="U157" s="542">
        <v>97</v>
      </c>
      <c r="V157" s="734"/>
      <c r="W157" s="673"/>
      <c r="X157"/>
      <c r="Y157" s="104"/>
      <c r="Z157" s="104"/>
      <c r="AA157" s="104"/>
      <c r="AB157" s="104"/>
      <c r="AC157" s="104"/>
      <c r="AD157" s="104"/>
      <c r="AE157" s="104"/>
      <c r="AF157" s="104"/>
      <c r="AG157" s="104"/>
      <c r="AH157" s="104"/>
      <c r="AI157" s="104"/>
      <c r="AJ157" s="104"/>
      <c r="AK157" s="104"/>
      <c r="AL157" s="147"/>
      <c r="AM157" s="146"/>
      <c r="AN157" s="542">
        <v>97</v>
      </c>
      <c r="AO157" s="734"/>
      <c r="AP157" s="673"/>
      <c r="AQ157"/>
      <c r="AR157" s="104"/>
      <c r="AS157" s="104"/>
      <c r="AT157" s="104"/>
      <c r="AU157" s="104"/>
      <c r="AV157" s="104"/>
      <c r="AW157" s="104"/>
      <c r="AX157" s="104"/>
      <c r="AY157" s="104"/>
      <c r="AZ157" s="104"/>
      <c r="BA157" s="104"/>
      <c r="BB157" s="104"/>
      <c r="BC157" s="104"/>
      <c r="BD157" s="104"/>
      <c r="BE157" s="147"/>
      <c r="BF157" s="146"/>
      <c r="BG157" s="542">
        <v>97</v>
      </c>
      <c r="BH157" s="734"/>
      <c r="BI157" s="673"/>
      <c r="BJ157"/>
      <c r="BK157" s="104"/>
      <c r="BL157" s="104"/>
      <c r="BM157" s="104"/>
      <c r="BN157" s="104"/>
      <c r="BO157" s="104"/>
      <c r="BP157" s="104"/>
      <c r="BQ157" s="104"/>
      <c r="BR157" s="104"/>
      <c r="BS157" s="104"/>
      <c r="BT157" s="104"/>
      <c r="BU157" s="104"/>
      <c r="BV157" s="104"/>
      <c r="BW157" s="104"/>
      <c r="BX157" s="147"/>
    </row>
    <row r="158" spans="1:76">
      <c r="A158" s="146"/>
      <c r="B158" s="542">
        <v>98</v>
      </c>
      <c r="C158" s="734"/>
      <c r="D158" s="673"/>
      <c r="E158"/>
      <c r="F158" s="104"/>
      <c r="G158" s="104"/>
      <c r="H158" s="104"/>
      <c r="I158" s="104"/>
      <c r="J158" s="104"/>
      <c r="K158" s="104"/>
      <c r="L158" s="104"/>
      <c r="M158" s="104"/>
      <c r="N158" s="104"/>
      <c r="O158" s="104"/>
      <c r="P158" s="104"/>
      <c r="Q158" s="104"/>
      <c r="R158" s="104"/>
      <c r="S158" s="147"/>
      <c r="T158" s="146"/>
      <c r="U158" s="542">
        <v>98</v>
      </c>
      <c r="V158" s="734"/>
      <c r="W158" s="673"/>
      <c r="X158"/>
      <c r="Y158" s="104"/>
      <c r="Z158" s="104"/>
      <c r="AA158" s="104"/>
      <c r="AB158" s="104"/>
      <c r="AC158" s="104"/>
      <c r="AD158" s="104"/>
      <c r="AE158" s="104"/>
      <c r="AF158" s="104"/>
      <c r="AG158" s="104"/>
      <c r="AH158" s="104"/>
      <c r="AI158" s="104"/>
      <c r="AJ158" s="104"/>
      <c r="AK158" s="104"/>
      <c r="AL158" s="147"/>
      <c r="AM158" s="146"/>
      <c r="AN158" s="542">
        <v>98</v>
      </c>
      <c r="AO158" s="734"/>
      <c r="AP158" s="673"/>
      <c r="AQ158"/>
      <c r="AR158" s="104"/>
      <c r="AS158" s="104"/>
      <c r="AT158" s="104"/>
      <c r="AU158" s="104"/>
      <c r="AV158" s="104"/>
      <c r="AW158" s="104"/>
      <c r="AX158" s="104"/>
      <c r="AY158" s="104"/>
      <c r="AZ158" s="104"/>
      <c r="BA158" s="104"/>
      <c r="BB158" s="104"/>
      <c r="BC158" s="104"/>
      <c r="BD158" s="104"/>
      <c r="BE158" s="147"/>
      <c r="BF158" s="146"/>
      <c r="BG158" s="542">
        <v>98</v>
      </c>
      <c r="BH158" s="734"/>
      <c r="BI158" s="673"/>
      <c r="BJ158"/>
      <c r="BK158" s="104"/>
      <c r="BL158" s="104"/>
      <c r="BM158" s="104"/>
      <c r="BN158" s="104"/>
      <c r="BO158" s="104"/>
      <c r="BP158" s="104"/>
      <c r="BQ158" s="104"/>
      <c r="BR158" s="104"/>
      <c r="BS158" s="104"/>
      <c r="BT158" s="104"/>
      <c r="BU158" s="104"/>
      <c r="BV158" s="104"/>
      <c r="BW158" s="104"/>
      <c r="BX158" s="147"/>
    </row>
    <row r="159" spans="1:76">
      <c r="A159" s="146"/>
      <c r="B159" s="542">
        <v>99</v>
      </c>
      <c r="C159" s="734"/>
      <c r="D159" s="673"/>
      <c r="E159"/>
      <c r="F159" s="104"/>
      <c r="G159" s="104"/>
      <c r="H159" s="104"/>
      <c r="I159" s="104"/>
      <c r="J159" s="104"/>
      <c r="K159" s="104"/>
      <c r="L159" s="104"/>
      <c r="M159" s="104"/>
      <c r="N159" s="104"/>
      <c r="O159" s="104"/>
      <c r="P159" s="104"/>
      <c r="Q159" s="104"/>
      <c r="R159" s="104"/>
      <c r="S159" s="147"/>
      <c r="T159" s="146"/>
      <c r="U159" s="542">
        <v>99</v>
      </c>
      <c r="V159" s="734"/>
      <c r="W159" s="673"/>
      <c r="X159"/>
      <c r="Y159" s="104"/>
      <c r="Z159" s="104"/>
      <c r="AA159" s="104"/>
      <c r="AB159" s="104"/>
      <c r="AC159" s="104"/>
      <c r="AD159" s="104"/>
      <c r="AE159" s="104"/>
      <c r="AF159" s="104"/>
      <c r="AG159" s="104"/>
      <c r="AH159" s="104"/>
      <c r="AI159" s="104"/>
      <c r="AJ159" s="104"/>
      <c r="AK159" s="104"/>
      <c r="AL159" s="147"/>
      <c r="AM159" s="146"/>
      <c r="AN159" s="542">
        <v>99</v>
      </c>
      <c r="AO159" s="734"/>
      <c r="AP159" s="673"/>
      <c r="AQ159"/>
      <c r="AR159" s="104"/>
      <c r="AS159" s="104"/>
      <c r="AT159" s="104"/>
      <c r="AU159" s="104"/>
      <c r="AV159" s="104"/>
      <c r="AW159" s="104"/>
      <c r="AX159" s="104"/>
      <c r="AY159" s="104"/>
      <c r="AZ159" s="104"/>
      <c r="BA159" s="104"/>
      <c r="BB159" s="104"/>
      <c r="BC159" s="104"/>
      <c r="BD159" s="104"/>
      <c r="BE159" s="147"/>
      <c r="BF159" s="146"/>
      <c r="BG159" s="542">
        <v>99</v>
      </c>
      <c r="BH159" s="734"/>
      <c r="BI159" s="673"/>
      <c r="BJ159"/>
      <c r="BK159" s="104"/>
      <c r="BL159" s="104"/>
      <c r="BM159" s="104"/>
      <c r="BN159" s="104"/>
      <c r="BO159" s="104"/>
      <c r="BP159" s="104"/>
      <c r="BQ159" s="104"/>
      <c r="BR159" s="104"/>
      <c r="BS159" s="104"/>
      <c r="BT159" s="104"/>
      <c r="BU159" s="104"/>
      <c r="BV159" s="104"/>
      <c r="BW159" s="104"/>
      <c r="BX159" s="147"/>
    </row>
    <row r="160" spans="1:76">
      <c r="A160" s="146"/>
      <c r="B160" s="542">
        <v>100</v>
      </c>
      <c r="C160" s="734"/>
      <c r="D160" s="673"/>
      <c r="E160"/>
      <c r="F160" s="104"/>
      <c r="G160" s="104"/>
      <c r="H160" s="104"/>
      <c r="I160" s="104"/>
      <c r="J160" s="104"/>
      <c r="K160" s="104"/>
      <c r="L160" s="104"/>
      <c r="M160" s="104"/>
      <c r="N160" s="104"/>
      <c r="O160" s="104"/>
      <c r="P160" s="104"/>
      <c r="Q160" s="104"/>
      <c r="R160" s="104"/>
      <c r="S160" s="147"/>
      <c r="T160" s="146"/>
      <c r="U160" s="542">
        <v>100</v>
      </c>
      <c r="V160" s="734"/>
      <c r="W160" s="673"/>
      <c r="X160"/>
      <c r="Y160" s="104"/>
      <c r="Z160" s="104"/>
      <c r="AA160" s="104"/>
      <c r="AB160" s="104"/>
      <c r="AC160" s="104"/>
      <c r="AD160" s="104"/>
      <c r="AE160" s="104"/>
      <c r="AF160" s="104"/>
      <c r="AG160" s="104"/>
      <c r="AH160" s="104"/>
      <c r="AI160" s="104"/>
      <c r="AJ160" s="104"/>
      <c r="AK160" s="104"/>
      <c r="AL160" s="147"/>
      <c r="AM160" s="146"/>
      <c r="AN160" s="542">
        <v>100</v>
      </c>
      <c r="AO160" s="734"/>
      <c r="AP160" s="673"/>
      <c r="AQ160"/>
      <c r="AR160" s="104"/>
      <c r="AS160" s="104"/>
      <c r="AT160" s="104"/>
      <c r="AU160" s="104"/>
      <c r="AV160" s="104"/>
      <c r="AW160" s="104"/>
      <c r="AX160" s="104"/>
      <c r="AY160" s="104"/>
      <c r="AZ160" s="104"/>
      <c r="BA160" s="104"/>
      <c r="BB160" s="104"/>
      <c r="BC160" s="104"/>
      <c r="BD160" s="104"/>
      <c r="BE160" s="147"/>
      <c r="BF160" s="146"/>
      <c r="BG160" s="542">
        <v>100</v>
      </c>
      <c r="BH160" s="734"/>
      <c r="BI160" s="673"/>
      <c r="BJ160"/>
      <c r="BK160" s="104"/>
      <c r="BL160" s="104"/>
      <c r="BM160" s="104"/>
      <c r="BN160" s="104"/>
      <c r="BO160" s="104"/>
      <c r="BP160" s="104"/>
      <c r="BQ160" s="104"/>
      <c r="BR160" s="104"/>
      <c r="BS160" s="104"/>
      <c r="BT160" s="104"/>
      <c r="BU160" s="104"/>
      <c r="BV160" s="104"/>
      <c r="BW160" s="104"/>
      <c r="BX160" s="147"/>
    </row>
    <row r="161" spans="1:76">
      <c r="A161" s="146"/>
      <c r="B161" s="542">
        <v>101</v>
      </c>
      <c r="C161" s="734"/>
      <c r="D161" s="673"/>
      <c r="E161"/>
      <c r="F161" s="104"/>
      <c r="G161" s="104"/>
      <c r="H161" s="104"/>
      <c r="I161" s="104"/>
      <c r="J161" s="104"/>
      <c r="K161" s="104"/>
      <c r="L161" s="104"/>
      <c r="M161" s="104"/>
      <c r="N161" s="104"/>
      <c r="O161" s="104"/>
      <c r="P161" s="104"/>
      <c r="Q161" s="104"/>
      <c r="R161" s="104"/>
      <c r="S161" s="147"/>
      <c r="T161" s="146"/>
      <c r="U161" s="542">
        <v>101</v>
      </c>
      <c r="V161" s="734"/>
      <c r="W161" s="673"/>
      <c r="X161"/>
      <c r="Y161" s="104"/>
      <c r="Z161" s="104"/>
      <c r="AA161" s="104"/>
      <c r="AB161" s="104"/>
      <c r="AC161" s="104"/>
      <c r="AD161" s="104"/>
      <c r="AE161" s="104"/>
      <c r="AF161" s="104"/>
      <c r="AG161" s="104"/>
      <c r="AH161" s="104"/>
      <c r="AI161" s="104"/>
      <c r="AJ161" s="104"/>
      <c r="AK161" s="104"/>
      <c r="AL161" s="147"/>
      <c r="AM161" s="146"/>
      <c r="AN161" s="542">
        <v>101</v>
      </c>
      <c r="AO161" s="734"/>
      <c r="AP161" s="673"/>
      <c r="AQ161"/>
      <c r="AR161" s="104"/>
      <c r="AS161" s="104"/>
      <c r="AT161" s="104"/>
      <c r="AU161" s="104"/>
      <c r="AV161" s="104"/>
      <c r="AW161" s="104"/>
      <c r="AX161" s="104"/>
      <c r="AY161" s="104"/>
      <c r="AZ161" s="104"/>
      <c r="BA161" s="104"/>
      <c r="BB161" s="104"/>
      <c r="BC161" s="104"/>
      <c r="BD161" s="104"/>
      <c r="BE161" s="147"/>
      <c r="BF161" s="146"/>
      <c r="BG161" s="542">
        <v>101</v>
      </c>
      <c r="BH161" s="734"/>
      <c r="BI161" s="673"/>
      <c r="BJ161"/>
      <c r="BK161" s="104"/>
      <c r="BL161" s="104"/>
      <c r="BM161" s="104"/>
      <c r="BN161" s="104"/>
      <c r="BO161" s="104"/>
      <c r="BP161" s="104"/>
      <c r="BQ161" s="104"/>
      <c r="BR161" s="104"/>
      <c r="BS161" s="104"/>
      <c r="BT161" s="104"/>
      <c r="BU161" s="104"/>
      <c r="BV161" s="104"/>
      <c r="BW161" s="104"/>
      <c r="BX161" s="147"/>
    </row>
    <row r="162" spans="1:76">
      <c r="A162" s="146"/>
      <c r="B162" s="542">
        <v>102</v>
      </c>
      <c r="C162" s="734"/>
      <c r="D162" s="673"/>
      <c r="E162"/>
      <c r="F162" s="104"/>
      <c r="G162" s="104"/>
      <c r="H162" s="104"/>
      <c r="I162" s="104"/>
      <c r="J162" s="104"/>
      <c r="K162" s="104"/>
      <c r="L162" s="104"/>
      <c r="M162" s="104"/>
      <c r="N162" s="104"/>
      <c r="O162" s="104"/>
      <c r="P162" s="104"/>
      <c r="Q162" s="104"/>
      <c r="R162" s="104"/>
      <c r="S162" s="147"/>
      <c r="T162" s="146"/>
      <c r="U162" s="542">
        <v>102</v>
      </c>
      <c r="V162" s="734"/>
      <c r="W162" s="673"/>
      <c r="X162"/>
      <c r="Y162" s="104"/>
      <c r="Z162" s="104"/>
      <c r="AA162" s="104"/>
      <c r="AB162" s="104"/>
      <c r="AC162" s="104"/>
      <c r="AD162" s="104"/>
      <c r="AE162" s="104"/>
      <c r="AF162" s="104"/>
      <c r="AG162" s="104"/>
      <c r="AH162" s="104"/>
      <c r="AI162" s="104"/>
      <c r="AJ162" s="104"/>
      <c r="AK162" s="104"/>
      <c r="AL162" s="147"/>
      <c r="AM162" s="146"/>
      <c r="AN162" s="542">
        <v>102</v>
      </c>
      <c r="AO162" s="734"/>
      <c r="AP162" s="673"/>
      <c r="AQ162"/>
      <c r="AR162" s="104"/>
      <c r="AS162" s="104"/>
      <c r="AT162" s="104"/>
      <c r="AU162" s="104"/>
      <c r="AV162" s="104"/>
      <c r="AW162" s="104"/>
      <c r="AX162" s="104"/>
      <c r="AY162" s="104"/>
      <c r="AZ162" s="104"/>
      <c r="BA162" s="104"/>
      <c r="BB162" s="104"/>
      <c r="BC162" s="104"/>
      <c r="BD162" s="104"/>
      <c r="BE162" s="147"/>
      <c r="BF162" s="146"/>
      <c r="BG162" s="542">
        <v>102</v>
      </c>
      <c r="BH162" s="734"/>
      <c r="BI162" s="673"/>
      <c r="BJ162"/>
      <c r="BK162" s="104"/>
      <c r="BL162" s="104"/>
      <c r="BM162" s="104"/>
      <c r="BN162" s="104"/>
      <c r="BO162" s="104"/>
      <c r="BP162" s="104"/>
      <c r="BQ162" s="104"/>
      <c r="BR162" s="104"/>
      <c r="BS162" s="104"/>
      <c r="BT162" s="104"/>
      <c r="BU162" s="104"/>
      <c r="BV162" s="104"/>
      <c r="BW162" s="104"/>
      <c r="BX162" s="147"/>
    </row>
    <row r="163" spans="1:76">
      <c r="A163" s="146"/>
      <c r="B163" s="542">
        <v>103</v>
      </c>
      <c r="C163" s="734"/>
      <c r="D163" s="673"/>
      <c r="E163"/>
      <c r="F163" s="104"/>
      <c r="G163" s="104"/>
      <c r="H163" s="104"/>
      <c r="I163" s="104"/>
      <c r="J163" s="104"/>
      <c r="K163" s="104"/>
      <c r="L163" s="104"/>
      <c r="M163" s="104"/>
      <c r="N163" s="104"/>
      <c r="O163" s="104"/>
      <c r="P163" s="104"/>
      <c r="Q163" s="104"/>
      <c r="R163" s="104"/>
      <c r="S163" s="147"/>
      <c r="T163" s="146"/>
      <c r="U163" s="542">
        <v>103</v>
      </c>
      <c r="V163" s="734"/>
      <c r="W163" s="673"/>
      <c r="X163"/>
      <c r="Y163" s="104"/>
      <c r="Z163" s="104"/>
      <c r="AA163" s="104"/>
      <c r="AB163" s="104"/>
      <c r="AC163" s="104"/>
      <c r="AD163" s="104"/>
      <c r="AE163" s="104"/>
      <c r="AF163" s="104"/>
      <c r="AG163" s="104"/>
      <c r="AH163" s="104"/>
      <c r="AI163" s="104"/>
      <c r="AJ163" s="104"/>
      <c r="AK163" s="104"/>
      <c r="AL163" s="147"/>
      <c r="AM163" s="146"/>
      <c r="AN163" s="542">
        <v>103</v>
      </c>
      <c r="AO163" s="734"/>
      <c r="AP163" s="673"/>
      <c r="AQ163"/>
      <c r="AR163" s="104"/>
      <c r="AS163" s="104"/>
      <c r="AT163" s="104"/>
      <c r="AU163" s="104"/>
      <c r="AV163" s="104"/>
      <c r="AW163" s="104"/>
      <c r="AX163" s="104"/>
      <c r="AY163" s="104"/>
      <c r="AZ163" s="104"/>
      <c r="BA163" s="104"/>
      <c r="BB163" s="104"/>
      <c r="BC163" s="104"/>
      <c r="BD163" s="104"/>
      <c r="BE163" s="147"/>
      <c r="BF163" s="146"/>
      <c r="BG163" s="542">
        <v>103</v>
      </c>
      <c r="BH163" s="734"/>
      <c r="BI163" s="673"/>
      <c r="BJ163"/>
      <c r="BK163" s="104"/>
      <c r="BL163" s="104"/>
      <c r="BM163" s="104"/>
      <c r="BN163" s="104"/>
      <c r="BO163" s="104"/>
      <c r="BP163" s="104"/>
      <c r="BQ163" s="104"/>
      <c r="BR163" s="104"/>
      <c r="BS163" s="104"/>
      <c r="BT163" s="104"/>
      <c r="BU163" s="104"/>
      <c r="BV163" s="104"/>
      <c r="BW163" s="104"/>
      <c r="BX163" s="147"/>
    </row>
    <row r="164" spans="1:76">
      <c r="A164" s="146"/>
      <c r="B164" s="542">
        <v>104</v>
      </c>
      <c r="C164" s="734"/>
      <c r="D164" s="673"/>
      <c r="E164"/>
      <c r="F164" s="104"/>
      <c r="G164" s="104"/>
      <c r="H164" s="104"/>
      <c r="I164" s="104"/>
      <c r="J164" s="104"/>
      <c r="K164" s="104"/>
      <c r="L164" s="104"/>
      <c r="M164" s="104"/>
      <c r="N164" s="104"/>
      <c r="O164" s="104"/>
      <c r="P164" s="104"/>
      <c r="Q164" s="104"/>
      <c r="R164" s="104"/>
      <c r="S164" s="147"/>
      <c r="T164" s="146"/>
      <c r="U164" s="542">
        <v>104</v>
      </c>
      <c r="V164" s="734"/>
      <c r="W164" s="673"/>
      <c r="X164"/>
      <c r="Y164" s="104"/>
      <c r="Z164" s="104"/>
      <c r="AA164" s="104"/>
      <c r="AB164" s="104"/>
      <c r="AC164" s="104"/>
      <c r="AD164" s="104"/>
      <c r="AE164" s="104"/>
      <c r="AF164" s="104"/>
      <c r="AG164" s="104"/>
      <c r="AH164" s="104"/>
      <c r="AI164" s="104"/>
      <c r="AJ164" s="104"/>
      <c r="AK164" s="104"/>
      <c r="AL164" s="147"/>
      <c r="AM164" s="146"/>
      <c r="AN164" s="542">
        <v>104</v>
      </c>
      <c r="AO164" s="734"/>
      <c r="AP164" s="673"/>
      <c r="AQ164"/>
      <c r="AR164" s="104"/>
      <c r="AS164" s="104"/>
      <c r="AT164" s="104"/>
      <c r="AU164" s="104"/>
      <c r="AV164" s="104"/>
      <c r="AW164" s="104"/>
      <c r="AX164" s="104"/>
      <c r="AY164" s="104"/>
      <c r="AZ164" s="104"/>
      <c r="BA164" s="104"/>
      <c r="BB164" s="104"/>
      <c r="BC164" s="104"/>
      <c r="BD164" s="104"/>
      <c r="BE164" s="147"/>
      <c r="BF164" s="146"/>
      <c r="BG164" s="542">
        <v>104</v>
      </c>
      <c r="BH164" s="734"/>
      <c r="BI164" s="673"/>
      <c r="BJ164"/>
      <c r="BK164" s="104"/>
      <c r="BL164" s="104"/>
      <c r="BM164" s="104"/>
      <c r="BN164" s="104"/>
      <c r="BO164" s="104"/>
      <c r="BP164" s="104"/>
      <c r="BQ164" s="104"/>
      <c r="BR164" s="104"/>
      <c r="BS164" s="104"/>
      <c r="BT164" s="104"/>
      <c r="BU164" s="104"/>
      <c r="BV164" s="104"/>
      <c r="BW164" s="104"/>
      <c r="BX164" s="147"/>
    </row>
    <row r="165" spans="1:76">
      <c r="A165" s="146"/>
      <c r="B165" s="542">
        <v>105</v>
      </c>
      <c r="C165" s="734"/>
      <c r="D165" s="673"/>
      <c r="E165"/>
      <c r="F165" s="104"/>
      <c r="G165" s="104"/>
      <c r="H165" s="104"/>
      <c r="I165" s="104"/>
      <c r="J165" s="104"/>
      <c r="K165" s="104"/>
      <c r="L165" s="104"/>
      <c r="M165" s="104"/>
      <c r="N165" s="104"/>
      <c r="O165" s="104"/>
      <c r="P165" s="104"/>
      <c r="Q165" s="104"/>
      <c r="R165" s="104"/>
      <c r="S165" s="147"/>
      <c r="T165" s="146"/>
      <c r="U165" s="542">
        <v>105</v>
      </c>
      <c r="V165" s="734"/>
      <c r="W165" s="673"/>
      <c r="X165"/>
      <c r="Y165" s="104"/>
      <c r="Z165" s="104"/>
      <c r="AA165" s="104"/>
      <c r="AB165" s="104"/>
      <c r="AC165" s="104"/>
      <c r="AD165" s="104"/>
      <c r="AE165" s="104"/>
      <c r="AF165" s="104"/>
      <c r="AG165" s="104"/>
      <c r="AH165" s="104"/>
      <c r="AI165" s="104"/>
      <c r="AJ165" s="104"/>
      <c r="AK165" s="104"/>
      <c r="AL165" s="147"/>
      <c r="AM165" s="146"/>
      <c r="AN165" s="542">
        <v>105</v>
      </c>
      <c r="AO165" s="734"/>
      <c r="AP165" s="673"/>
      <c r="AQ165"/>
      <c r="AR165" s="104"/>
      <c r="AS165" s="104"/>
      <c r="AT165" s="104"/>
      <c r="AU165" s="104"/>
      <c r="AV165" s="104"/>
      <c r="AW165" s="104"/>
      <c r="AX165" s="104"/>
      <c r="AY165" s="104"/>
      <c r="AZ165" s="104"/>
      <c r="BA165" s="104"/>
      <c r="BB165" s="104"/>
      <c r="BC165" s="104"/>
      <c r="BD165" s="104"/>
      <c r="BE165" s="147"/>
      <c r="BF165" s="146"/>
      <c r="BG165" s="542">
        <v>105</v>
      </c>
      <c r="BH165" s="734"/>
      <c r="BI165" s="673"/>
      <c r="BJ165"/>
      <c r="BK165" s="104"/>
      <c r="BL165" s="104"/>
      <c r="BM165" s="104"/>
      <c r="BN165" s="104"/>
      <c r="BO165" s="104"/>
      <c r="BP165" s="104"/>
      <c r="BQ165" s="104"/>
      <c r="BR165" s="104"/>
      <c r="BS165" s="104"/>
      <c r="BT165" s="104"/>
      <c r="BU165" s="104"/>
      <c r="BV165" s="104"/>
      <c r="BW165" s="104"/>
      <c r="BX165" s="147"/>
    </row>
    <row r="166" spans="1:76">
      <c r="A166" s="146"/>
      <c r="B166" s="542">
        <v>106</v>
      </c>
      <c r="C166" s="734"/>
      <c r="D166" s="673"/>
      <c r="E166"/>
      <c r="F166" s="104"/>
      <c r="G166" s="104"/>
      <c r="H166" s="104"/>
      <c r="I166" s="104"/>
      <c r="J166" s="104"/>
      <c r="K166" s="104"/>
      <c r="L166" s="104"/>
      <c r="M166" s="104"/>
      <c r="N166" s="104"/>
      <c r="O166" s="104"/>
      <c r="P166" s="104"/>
      <c r="Q166" s="104"/>
      <c r="R166" s="104"/>
      <c r="S166" s="147"/>
      <c r="T166" s="146"/>
      <c r="U166" s="542">
        <v>106</v>
      </c>
      <c r="V166" s="734"/>
      <c r="W166" s="673"/>
      <c r="X166"/>
      <c r="Y166" s="104"/>
      <c r="Z166" s="104"/>
      <c r="AA166" s="104"/>
      <c r="AB166" s="104"/>
      <c r="AC166" s="104"/>
      <c r="AD166" s="104"/>
      <c r="AE166" s="104"/>
      <c r="AF166" s="104"/>
      <c r="AG166" s="104"/>
      <c r="AH166" s="104"/>
      <c r="AI166" s="104"/>
      <c r="AJ166" s="104"/>
      <c r="AK166" s="104"/>
      <c r="AL166" s="147"/>
      <c r="AM166" s="146"/>
      <c r="AN166" s="542">
        <v>106</v>
      </c>
      <c r="AO166" s="734"/>
      <c r="AP166" s="673"/>
      <c r="AQ166"/>
      <c r="AR166" s="104"/>
      <c r="AS166" s="104"/>
      <c r="AT166" s="104"/>
      <c r="AU166" s="104"/>
      <c r="AV166" s="104"/>
      <c r="AW166" s="104"/>
      <c r="AX166" s="104"/>
      <c r="AY166" s="104"/>
      <c r="AZ166" s="104"/>
      <c r="BA166" s="104"/>
      <c r="BB166" s="104"/>
      <c r="BC166" s="104"/>
      <c r="BD166" s="104"/>
      <c r="BE166" s="147"/>
      <c r="BF166" s="146"/>
      <c r="BG166" s="542">
        <v>106</v>
      </c>
      <c r="BH166" s="734"/>
      <c r="BI166" s="673"/>
      <c r="BJ166"/>
      <c r="BK166" s="104"/>
      <c r="BL166" s="104"/>
      <c r="BM166" s="104"/>
      <c r="BN166" s="104"/>
      <c r="BO166" s="104"/>
      <c r="BP166" s="104"/>
      <c r="BQ166" s="104"/>
      <c r="BR166" s="104"/>
      <c r="BS166" s="104"/>
      <c r="BT166" s="104"/>
      <c r="BU166" s="104"/>
      <c r="BV166" s="104"/>
      <c r="BW166" s="104"/>
      <c r="BX166" s="147"/>
    </row>
    <row r="167" spans="1:76">
      <c r="A167" s="146"/>
      <c r="B167" s="542">
        <v>107</v>
      </c>
      <c r="C167" s="734"/>
      <c r="D167" s="673"/>
      <c r="E167"/>
      <c r="F167" s="104"/>
      <c r="G167" s="104"/>
      <c r="H167" s="104"/>
      <c r="I167" s="104"/>
      <c r="J167" s="104"/>
      <c r="K167" s="104"/>
      <c r="L167" s="104"/>
      <c r="M167" s="104"/>
      <c r="N167" s="104"/>
      <c r="O167" s="104"/>
      <c r="P167" s="104"/>
      <c r="Q167" s="104"/>
      <c r="R167" s="104"/>
      <c r="S167" s="147"/>
      <c r="T167" s="146"/>
      <c r="U167" s="542">
        <v>107</v>
      </c>
      <c r="V167" s="734"/>
      <c r="W167" s="673"/>
      <c r="X167"/>
      <c r="Y167" s="104"/>
      <c r="Z167" s="104"/>
      <c r="AA167" s="104"/>
      <c r="AB167" s="104"/>
      <c r="AC167" s="104"/>
      <c r="AD167" s="104"/>
      <c r="AE167" s="104"/>
      <c r="AF167" s="104"/>
      <c r="AG167" s="104"/>
      <c r="AH167" s="104"/>
      <c r="AI167" s="104"/>
      <c r="AJ167" s="104"/>
      <c r="AK167" s="104"/>
      <c r="AL167" s="147"/>
      <c r="AM167" s="146"/>
      <c r="AN167" s="542">
        <v>107</v>
      </c>
      <c r="AO167" s="734"/>
      <c r="AP167" s="673"/>
      <c r="AQ167"/>
      <c r="AR167" s="104"/>
      <c r="AS167" s="104"/>
      <c r="AT167" s="104"/>
      <c r="AU167" s="104"/>
      <c r="AV167" s="104"/>
      <c r="AW167" s="104"/>
      <c r="AX167" s="104"/>
      <c r="AY167" s="104"/>
      <c r="AZ167" s="104"/>
      <c r="BA167" s="104"/>
      <c r="BB167" s="104"/>
      <c r="BC167" s="104"/>
      <c r="BD167" s="104"/>
      <c r="BE167" s="147"/>
      <c r="BF167" s="146"/>
      <c r="BG167" s="542">
        <v>107</v>
      </c>
      <c r="BH167" s="734"/>
      <c r="BI167" s="673"/>
      <c r="BJ167"/>
      <c r="BK167" s="104"/>
      <c r="BL167" s="104"/>
      <c r="BM167" s="104"/>
      <c r="BN167" s="104"/>
      <c r="BO167" s="104"/>
      <c r="BP167" s="104"/>
      <c r="BQ167" s="104"/>
      <c r="BR167" s="104"/>
      <c r="BS167" s="104"/>
      <c r="BT167" s="104"/>
      <c r="BU167" s="104"/>
      <c r="BV167" s="104"/>
      <c r="BW167" s="104"/>
      <c r="BX167" s="147"/>
    </row>
    <row r="168" spans="1:76">
      <c r="A168" s="146"/>
      <c r="B168" s="542">
        <v>108</v>
      </c>
      <c r="C168" s="734"/>
      <c r="D168" s="673"/>
      <c r="E168"/>
      <c r="F168" s="104"/>
      <c r="G168" s="104"/>
      <c r="H168" s="104"/>
      <c r="I168" s="104"/>
      <c r="J168" s="104"/>
      <c r="K168" s="104"/>
      <c r="L168" s="104"/>
      <c r="M168" s="104"/>
      <c r="N168" s="104"/>
      <c r="O168" s="104"/>
      <c r="P168" s="104"/>
      <c r="Q168" s="104"/>
      <c r="R168" s="104"/>
      <c r="S168" s="147"/>
      <c r="T168" s="146"/>
      <c r="U168" s="542">
        <v>108</v>
      </c>
      <c r="V168" s="734"/>
      <c r="W168" s="673"/>
      <c r="X168"/>
      <c r="Y168" s="104"/>
      <c r="Z168" s="104"/>
      <c r="AA168" s="104"/>
      <c r="AB168" s="104"/>
      <c r="AC168" s="104"/>
      <c r="AD168" s="104"/>
      <c r="AE168" s="104"/>
      <c r="AF168" s="104"/>
      <c r="AG168" s="104"/>
      <c r="AH168" s="104"/>
      <c r="AI168" s="104"/>
      <c r="AJ168" s="104"/>
      <c r="AK168" s="104"/>
      <c r="AL168" s="147"/>
      <c r="AM168" s="146"/>
      <c r="AN168" s="542">
        <v>108</v>
      </c>
      <c r="AO168" s="734"/>
      <c r="AP168" s="673"/>
      <c r="AQ168"/>
      <c r="AR168" s="104"/>
      <c r="AS168" s="104"/>
      <c r="AT168" s="104"/>
      <c r="AU168" s="104"/>
      <c r="AV168" s="104"/>
      <c r="AW168" s="104"/>
      <c r="AX168" s="104"/>
      <c r="AY168" s="104"/>
      <c r="AZ168" s="104"/>
      <c r="BA168" s="104"/>
      <c r="BB168" s="104"/>
      <c r="BC168" s="104"/>
      <c r="BD168" s="104"/>
      <c r="BE168" s="147"/>
      <c r="BF168" s="146"/>
      <c r="BG168" s="542">
        <v>108</v>
      </c>
      <c r="BH168" s="734"/>
      <c r="BI168" s="673"/>
      <c r="BJ168"/>
      <c r="BK168" s="104"/>
      <c r="BL168" s="104"/>
      <c r="BM168" s="104"/>
      <c r="BN168" s="104"/>
      <c r="BO168" s="104"/>
      <c r="BP168" s="104"/>
      <c r="BQ168" s="104"/>
      <c r="BR168" s="104"/>
      <c r="BS168" s="104"/>
      <c r="BT168" s="104"/>
      <c r="BU168" s="104"/>
      <c r="BV168" s="104"/>
      <c r="BW168" s="104"/>
      <c r="BX168" s="147"/>
    </row>
    <row r="169" spans="1:76">
      <c r="A169" s="146"/>
      <c r="B169" s="542">
        <v>109</v>
      </c>
      <c r="C169" s="734"/>
      <c r="D169" s="673"/>
      <c r="E169"/>
      <c r="F169" s="104"/>
      <c r="G169" s="104"/>
      <c r="H169" s="104"/>
      <c r="I169" s="104"/>
      <c r="J169" s="104"/>
      <c r="K169" s="104"/>
      <c r="L169" s="104"/>
      <c r="M169" s="104"/>
      <c r="N169" s="104"/>
      <c r="O169" s="104"/>
      <c r="P169" s="104"/>
      <c r="Q169" s="104"/>
      <c r="R169" s="104"/>
      <c r="S169" s="147"/>
      <c r="T169" s="146"/>
      <c r="U169" s="542">
        <v>109</v>
      </c>
      <c r="V169" s="734"/>
      <c r="W169" s="673"/>
      <c r="X169"/>
      <c r="Y169" s="104"/>
      <c r="Z169" s="104"/>
      <c r="AA169" s="104"/>
      <c r="AB169" s="104"/>
      <c r="AC169" s="104"/>
      <c r="AD169" s="104"/>
      <c r="AE169" s="104"/>
      <c r="AF169" s="104"/>
      <c r="AG169" s="104"/>
      <c r="AH169" s="104"/>
      <c r="AI169" s="104"/>
      <c r="AJ169" s="104"/>
      <c r="AK169" s="104"/>
      <c r="AL169" s="147"/>
      <c r="AM169" s="146"/>
      <c r="AN169" s="542">
        <v>109</v>
      </c>
      <c r="AO169" s="734"/>
      <c r="AP169" s="673"/>
      <c r="AQ169"/>
      <c r="AR169" s="104"/>
      <c r="AS169" s="104"/>
      <c r="AT169" s="104"/>
      <c r="AU169" s="104"/>
      <c r="AV169" s="104"/>
      <c r="AW169" s="104"/>
      <c r="AX169" s="104"/>
      <c r="AY169" s="104"/>
      <c r="AZ169" s="104"/>
      <c r="BA169" s="104"/>
      <c r="BB169" s="104"/>
      <c r="BC169" s="104"/>
      <c r="BD169" s="104"/>
      <c r="BE169" s="147"/>
      <c r="BF169" s="146"/>
      <c r="BG169" s="542">
        <v>109</v>
      </c>
      <c r="BH169" s="734"/>
      <c r="BI169" s="673"/>
      <c r="BJ169"/>
      <c r="BK169" s="104"/>
      <c r="BL169" s="104"/>
      <c r="BM169" s="104"/>
      <c r="BN169" s="104"/>
      <c r="BO169" s="104"/>
      <c r="BP169" s="104"/>
      <c r="BQ169" s="104"/>
      <c r="BR169" s="104"/>
      <c r="BS169" s="104"/>
      <c r="BT169" s="104"/>
      <c r="BU169" s="104"/>
      <c r="BV169" s="104"/>
      <c r="BW169" s="104"/>
      <c r="BX169" s="147"/>
    </row>
    <row r="170" spans="1:76">
      <c r="A170" s="146"/>
      <c r="B170" s="542">
        <v>110</v>
      </c>
      <c r="C170" s="734"/>
      <c r="D170" s="673"/>
      <c r="E170"/>
      <c r="F170" s="104"/>
      <c r="G170" s="104"/>
      <c r="H170" s="104"/>
      <c r="I170" s="104"/>
      <c r="J170" s="104"/>
      <c r="K170" s="104"/>
      <c r="L170" s="104"/>
      <c r="M170" s="104"/>
      <c r="N170" s="104"/>
      <c r="O170" s="104"/>
      <c r="P170" s="104"/>
      <c r="Q170" s="104"/>
      <c r="R170" s="104"/>
      <c r="S170" s="147"/>
      <c r="T170" s="146"/>
      <c r="U170" s="542">
        <v>110</v>
      </c>
      <c r="V170" s="734"/>
      <c r="W170" s="673"/>
      <c r="X170"/>
      <c r="Y170" s="104"/>
      <c r="Z170" s="104"/>
      <c r="AA170" s="104"/>
      <c r="AB170" s="104"/>
      <c r="AC170" s="104"/>
      <c r="AD170" s="104"/>
      <c r="AE170" s="104"/>
      <c r="AF170" s="104"/>
      <c r="AG170" s="104"/>
      <c r="AH170" s="104"/>
      <c r="AI170" s="104"/>
      <c r="AJ170" s="104"/>
      <c r="AK170" s="104"/>
      <c r="AL170" s="147"/>
      <c r="AM170" s="146"/>
      <c r="AN170" s="542">
        <v>110</v>
      </c>
      <c r="AO170" s="734"/>
      <c r="AP170" s="673"/>
      <c r="AQ170"/>
      <c r="AR170" s="104"/>
      <c r="AS170" s="104"/>
      <c r="AT170" s="104"/>
      <c r="AU170" s="104"/>
      <c r="AV170" s="104"/>
      <c r="AW170" s="104"/>
      <c r="AX170" s="104"/>
      <c r="AY170" s="104"/>
      <c r="AZ170" s="104"/>
      <c r="BA170" s="104"/>
      <c r="BB170" s="104"/>
      <c r="BC170" s="104"/>
      <c r="BD170" s="104"/>
      <c r="BE170" s="147"/>
      <c r="BF170" s="146"/>
      <c r="BG170" s="542">
        <v>110</v>
      </c>
      <c r="BH170" s="734"/>
      <c r="BI170" s="673"/>
      <c r="BJ170"/>
      <c r="BK170" s="104"/>
      <c r="BL170" s="104"/>
      <c r="BM170" s="104"/>
      <c r="BN170" s="104"/>
      <c r="BO170" s="104"/>
      <c r="BP170" s="104"/>
      <c r="BQ170" s="104"/>
      <c r="BR170" s="104"/>
      <c r="BS170" s="104"/>
      <c r="BT170" s="104"/>
      <c r="BU170" s="104"/>
      <c r="BV170" s="104"/>
      <c r="BW170" s="104"/>
      <c r="BX170" s="147"/>
    </row>
    <row r="171" spans="1:76">
      <c r="A171" s="146"/>
      <c r="B171" s="542">
        <v>111</v>
      </c>
      <c r="C171" s="734"/>
      <c r="D171" s="673"/>
      <c r="E171"/>
      <c r="F171" s="104"/>
      <c r="G171" s="104"/>
      <c r="H171" s="104"/>
      <c r="I171" s="104"/>
      <c r="J171" s="104"/>
      <c r="K171" s="104"/>
      <c r="L171" s="104"/>
      <c r="M171" s="104"/>
      <c r="N171" s="104"/>
      <c r="O171" s="104"/>
      <c r="P171" s="104"/>
      <c r="Q171" s="104"/>
      <c r="R171" s="104"/>
      <c r="S171" s="147"/>
      <c r="T171" s="146"/>
      <c r="U171" s="542">
        <v>111</v>
      </c>
      <c r="V171" s="734"/>
      <c r="W171" s="673"/>
      <c r="X171"/>
      <c r="Y171" s="104"/>
      <c r="Z171" s="104"/>
      <c r="AA171" s="104"/>
      <c r="AB171" s="104"/>
      <c r="AC171" s="104"/>
      <c r="AD171" s="104"/>
      <c r="AE171" s="104"/>
      <c r="AF171" s="104"/>
      <c r="AG171" s="104"/>
      <c r="AH171" s="104"/>
      <c r="AI171" s="104"/>
      <c r="AJ171" s="104"/>
      <c r="AK171" s="104"/>
      <c r="AL171" s="147"/>
      <c r="AM171" s="146"/>
      <c r="AN171" s="542">
        <v>111</v>
      </c>
      <c r="AO171" s="734"/>
      <c r="AP171" s="673"/>
      <c r="AQ171"/>
      <c r="AR171" s="104"/>
      <c r="AS171" s="104"/>
      <c r="AT171" s="104"/>
      <c r="AU171" s="104"/>
      <c r="AV171" s="104"/>
      <c r="AW171" s="104"/>
      <c r="AX171" s="104"/>
      <c r="AY171" s="104"/>
      <c r="AZ171" s="104"/>
      <c r="BA171" s="104"/>
      <c r="BB171" s="104"/>
      <c r="BC171" s="104"/>
      <c r="BD171" s="104"/>
      <c r="BE171" s="147"/>
      <c r="BF171" s="146"/>
      <c r="BG171" s="542">
        <v>111</v>
      </c>
      <c r="BH171" s="734"/>
      <c r="BI171" s="673"/>
      <c r="BJ171"/>
      <c r="BK171" s="104"/>
      <c r="BL171" s="104"/>
      <c r="BM171" s="104"/>
      <c r="BN171" s="104"/>
      <c r="BO171" s="104"/>
      <c r="BP171" s="104"/>
      <c r="BQ171" s="104"/>
      <c r="BR171" s="104"/>
      <c r="BS171" s="104"/>
      <c r="BT171" s="104"/>
      <c r="BU171" s="104"/>
      <c r="BV171" s="104"/>
      <c r="BW171" s="104"/>
      <c r="BX171" s="147"/>
    </row>
    <row r="172" spans="1:76">
      <c r="A172" s="146"/>
      <c r="B172" s="542">
        <v>112</v>
      </c>
      <c r="C172" s="734"/>
      <c r="D172" s="673"/>
      <c r="E172"/>
      <c r="F172" s="104"/>
      <c r="G172" s="104"/>
      <c r="H172" s="104"/>
      <c r="I172" s="104"/>
      <c r="J172" s="104"/>
      <c r="K172" s="104"/>
      <c r="L172" s="104"/>
      <c r="M172" s="104"/>
      <c r="N172" s="104"/>
      <c r="O172" s="104"/>
      <c r="P172" s="104"/>
      <c r="Q172" s="104"/>
      <c r="R172" s="104"/>
      <c r="S172" s="147"/>
      <c r="T172" s="146"/>
      <c r="U172" s="542">
        <v>112</v>
      </c>
      <c r="V172" s="734"/>
      <c r="W172" s="673"/>
      <c r="X172"/>
      <c r="Y172" s="104"/>
      <c r="Z172" s="104"/>
      <c r="AA172" s="104"/>
      <c r="AB172" s="104"/>
      <c r="AC172" s="104"/>
      <c r="AD172" s="104"/>
      <c r="AE172" s="104"/>
      <c r="AF172" s="104"/>
      <c r="AG172" s="104"/>
      <c r="AH172" s="104"/>
      <c r="AI172" s="104"/>
      <c r="AJ172" s="104"/>
      <c r="AK172" s="104"/>
      <c r="AL172" s="147"/>
      <c r="AM172" s="146"/>
      <c r="AN172" s="542">
        <v>112</v>
      </c>
      <c r="AO172" s="734"/>
      <c r="AP172" s="673"/>
      <c r="AQ172"/>
      <c r="AR172" s="104"/>
      <c r="AS172" s="104"/>
      <c r="AT172" s="104"/>
      <c r="AU172" s="104"/>
      <c r="AV172" s="104"/>
      <c r="AW172" s="104"/>
      <c r="AX172" s="104"/>
      <c r="AY172" s="104"/>
      <c r="AZ172" s="104"/>
      <c r="BA172" s="104"/>
      <c r="BB172" s="104"/>
      <c r="BC172" s="104"/>
      <c r="BD172" s="104"/>
      <c r="BE172" s="147"/>
      <c r="BF172" s="146"/>
      <c r="BG172" s="542">
        <v>112</v>
      </c>
      <c r="BH172" s="734"/>
      <c r="BI172" s="673"/>
      <c r="BJ172"/>
      <c r="BK172" s="104"/>
      <c r="BL172" s="104"/>
      <c r="BM172" s="104"/>
      <c r="BN172" s="104"/>
      <c r="BO172" s="104"/>
      <c r="BP172" s="104"/>
      <c r="BQ172" s="104"/>
      <c r="BR172" s="104"/>
      <c r="BS172" s="104"/>
      <c r="BT172" s="104"/>
      <c r="BU172" s="104"/>
      <c r="BV172" s="104"/>
      <c r="BW172" s="104"/>
      <c r="BX172" s="147"/>
    </row>
    <row r="173" spans="1:76">
      <c r="A173" s="146"/>
      <c r="B173" s="542">
        <v>113</v>
      </c>
      <c r="C173" s="734"/>
      <c r="D173" s="673"/>
      <c r="E173"/>
      <c r="F173" s="104"/>
      <c r="G173" s="104"/>
      <c r="H173" s="104"/>
      <c r="I173" s="104"/>
      <c r="J173" s="104"/>
      <c r="K173" s="104"/>
      <c r="L173" s="104"/>
      <c r="M173" s="104"/>
      <c r="N173" s="104"/>
      <c r="O173" s="104"/>
      <c r="P173" s="104"/>
      <c r="Q173" s="104"/>
      <c r="R173" s="104"/>
      <c r="S173" s="147"/>
      <c r="T173" s="146"/>
      <c r="U173" s="542">
        <v>113</v>
      </c>
      <c r="V173" s="734"/>
      <c r="W173" s="673"/>
      <c r="X173"/>
      <c r="Y173" s="104"/>
      <c r="Z173" s="104"/>
      <c r="AA173" s="104"/>
      <c r="AB173" s="104"/>
      <c r="AC173" s="104"/>
      <c r="AD173" s="104"/>
      <c r="AE173" s="104"/>
      <c r="AF173" s="104"/>
      <c r="AG173" s="104"/>
      <c r="AH173" s="104"/>
      <c r="AI173" s="104"/>
      <c r="AJ173" s="104"/>
      <c r="AK173" s="104"/>
      <c r="AL173" s="147"/>
      <c r="AM173" s="146"/>
      <c r="AN173" s="542">
        <v>113</v>
      </c>
      <c r="AO173" s="734"/>
      <c r="AP173" s="673"/>
      <c r="AQ173"/>
      <c r="AR173" s="104"/>
      <c r="AS173" s="104"/>
      <c r="AT173" s="104"/>
      <c r="AU173" s="104"/>
      <c r="AV173" s="104"/>
      <c r="AW173" s="104"/>
      <c r="AX173" s="104"/>
      <c r="AY173" s="104"/>
      <c r="AZ173" s="104"/>
      <c r="BA173" s="104"/>
      <c r="BB173" s="104"/>
      <c r="BC173" s="104"/>
      <c r="BD173" s="104"/>
      <c r="BE173" s="147"/>
      <c r="BF173" s="146"/>
      <c r="BG173" s="542">
        <v>113</v>
      </c>
      <c r="BH173" s="734"/>
      <c r="BI173" s="673"/>
      <c r="BJ173"/>
      <c r="BK173" s="104"/>
      <c r="BL173" s="104"/>
      <c r="BM173" s="104"/>
      <c r="BN173" s="104"/>
      <c r="BO173" s="104"/>
      <c r="BP173" s="104"/>
      <c r="BQ173" s="104"/>
      <c r="BR173" s="104"/>
      <c r="BS173" s="104"/>
      <c r="BT173" s="104"/>
      <c r="BU173" s="104"/>
      <c r="BV173" s="104"/>
      <c r="BW173" s="104"/>
      <c r="BX173" s="147"/>
    </row>
    <row r="174" spans="1:76">
      <c r="A174" s="146"/>
      <c r="B174" s="542">
        <v>114</v>
      </c>
      <c r="C174" s="734"/>
      <c r="D174" s="673"/>
      <c r="E174"/>
      <c r="F174" s="104"/>
      <c r="G174" s="104"/>
      <c r="H174" s="104"/>
      <c r="I174" s="104"/>
      <c r="J174" s="104"/>
      <c r="K174" s="104"/>
      <c r="L174" s="104"/>
      <c r="M174" s="104"/>
      <c r="N174" s="104"/>
      <c r="O174" s="104"/>
      <c r="P174" s="104"/>
      <c r="Q174" s="104"/>
      <c r="R174" s="104"/>
      <c r="S174" s="147"/>
      <c r="T174" s="146"/>
      <c r="U174" s="542">
        <v>114</v>
      </c>
      <c r="V174" s="734"/>
      <c r="W174" s="673"/>
      <c r="X174"/>
      <c r="Y174" s="104"/>
      <c r="Z174" s="104"/>
      <c r="AA174" s="104"/>
      <c r="AB174" s="104"/>
      <c r="AC174" s="104"/>
      <c r="AD174" s="104"/>
      <c r="AE174" s="104"/>
      <c r="AF174" s="104"/>
      <c r="AG174" s="104"/>
      <c r="AH174" s="104"/>
      <c r="AI174" s="104"/>
      <c r="AJ174" s="104"/>
      <c r="AK174" s="104"/>
      <c r="AL174" s="147"/>
      <c r="AM174" s="146"/>
      <c r="AN174" s="542">
        <v>114</v>
      </c>
      <c r="AO174" s="734"/>
      <c r="AP174" s="673"/>
      <c r="AQ174"/>
      <c r="AR174" s="104"/>
      <c r="AS174" s="104"/>
      <c r="AT174" s="104"/>
      <c r="AU174" s="104"/>
      <c r="AV174" s="104"/>
      <c r="AW174" s="104"/>
      <c r="AX174" s="104"/>
      <c r="AY174" s="104"/>
      <c r="AZ174" s="104"/>
      <c r="BA174" s="104"/>
      <c r="BB174" s="104"/>
      <c r="BC174" s="104"/>
      <c r="BD174" s="104"/>
      <c r="BE174" s="147"/>
      <c r="BF174" s="146"/>
      <c r="BG174" s="542">
        <v>114</v>
      </c>
      <c r="BH174" s="734"/>
      <c r="BI174" s="673"/>
      <c r="BJ174"/>
      <c r="BK174" s="104"/>
      <c r="BL174" s="104"/>
      <c r="BM174" s="104"/>
      <c r="BN174" s="104"/>
      <c r="BO174" s="104"/>
      <c r="BP174" s="104"/>
      <c r="BQ174" s="104"/>
      <c r="BR174" s="104"/>
      <c r="BS174" s="104"/>
      <c r="BT174" s="104"/>
      <c r="BU174" s="104"/>
      <c r="BV174" s="104"/>
      <c r="BW174" s="104"/>
      <c r="BX174" s="147"/>
    </row>
    <row r="175" spans="1:76">
      <c r="A175" s="146"/>
      <c r="B175" s="542">
        <v>115</v>
      </c>
      <c r="C175" s="734"/>
      <c r="D175" s="673"/>
      <c r="E175"/>
      <c r="F175" s="104"/>
      <c r="G175" s="104"/>
      <c r="H175" s="104"/>
      <c r="I175" s="104"/>
      <c r="J175" s="104"/>
      <c r="K175" s="104"/>
      <c r="L175" s="104"/>
      <c r="M175" s="104"/>
      <c r="N175" s="104"/>
      <c r="O175" s="104"/>
      <c r="P175" s="104"/>
      <c r="Q175" s="104"/>
      <c r="R175" s="104"/>
      <c r="S175" s="147"/>
      <c r="T175" s="146"/>
      <c r="U175" s="542">
        <v>115</v>
      </c>
      <c r="V175" s="734"/>
      <c r="W175" s="673"/>
      <c r="X175"/>
      <c r="Y175" s="104"/>
      <c r="Z175" s="104"/>
      <c r="AA175" s="104"/>
      <c r="AB175" s="104"/>
      <c r="AC175" s="104"/>
      <c r="AD175" s="104"/>
      <c r="AE175" s="104"/>
      <c r="AF175" s="104"/>
      <c r="AG175" s="104"/>
      <c r="AH175" s="104"/>
      <c r="AI175" s="104"/>
      <c r="AJ175" s="104"/>
      <c r="AK175" s="104"/>
      <c r="AL175" s="147"/>
      <c r="AM175" s="146"/>
      <c r="AN175" s="542">
        <v>115</v>
      </c>
      <c r="AO175" s="734"/>
      <c r="AP175" s="673"/>
      <c r="AQ175"/>
      <c r="AR175" s="104"/>
      <c r="AS175" s="104"/>
      <c r="AT175" s="104"/>
      <c r="AU175" s="104"/>
      <c r="AV175" s="104"/>
      <c r="AW175" s="104"/>
      <c r="AX175" s="104"/>
      <c r="AY175" s="104"/>
      <c r="AZ175" s="104"/>
      <c r="BA175" s="104"/>
      <c r="BB175" s="104"/>
      <c r="BC175" s="104"/>
      <c r="BD175" s="104"/>
      <c r="BE175" s="147"/>
      <c r="BF175" s="146"/>
      <c r="BG175" s="542">
        <v>115</v>
      </c>
      <c r="BH175" s="734"/>
      <c r="BI175" s="673"/>
      <c r="BJ175"/>
      <c r="BK175" s="104"/>
      <c r="BL175" s="104"/>
      <c r="BM175" s="104"/>
      <c r="BN175" s="104"/>
      <c r="BO175" s="104"/>
      <c r="BP175" s="104"/>
      <c r="BQ175" s="104"/>
      <c r="BR175" s="104"/>
      <c r="BS175" s="104"/>
      <c r="BT175" s="104"/>
      <c r="BU175" s="104"/>
      <c r="BV175" s="104"/>
      <c r="BW175" s="104"/>
      <c r="BX175" s="147"/>
    </row>
    <row r="176" spans="1:76">
      <c r="A176" s="146"/>
      <c r="B176" s="542">
        <v>116</v>
      </c>
      <c r="C176" s="734"/>
      <c r="D176" s="673"/>
      <c r="E176"/>
      <c r="F176" s="104"/>
      <c r="G176" s="104"/>
      <c r="H176" s="104"/>
      <c r="I176" s="104"/>
      <c r="J176" s="104"/>
      <c r="K176" s="104"/>
      <c r="L176" s="104"/>
      <c r="M176" s="104"/>
      <c r="N176" s="104"/>
      <c r="O176" s="104"/>
      <c r="P176" s="104"/>
      <c r="Q176" s="104"/>
      <c r="R176" s="104"/>
      <c r="S176" s="147"/>
      <c r="T176" s="146"/>
      <c r="U176" s="542">
        <v>116</v>
      </c>
      <c r="V176" s="734"/>
      <c r="W176" s="673"/>
      <c r="X176"/>
      <c r="Y176" s="104"/>
      <c r="Z176" s="104"/>
      <c r="AA176" s="104"/>
      <c r="AB176" s="104"/>
      <c r="AC176" s="104"/>
      <c r="AD176" s="104"/>
      <c r="AE176" s="104"/>
      <c r="AF176" s="104"/>
      <c r="AG176" s="104"/>
      <c r="AH176" s="104"/>
      <c r="AI176" s="104"/>
      <c r="AJ176" s="104"/>
      <c r="AK176" s="104"/>
      <c r="AL176" s="147"/>
      <c r="AM176" s="146"/>
      <c r="AN176" s="542">
        <v>116</v>
      </c>
      <c r="AO176" s="734"/>
      <c r="AP176" s="673"/>
      <c r="AQ176"/>
      <c r="AR176" s="104"/>
      <c r="AS176" s="104"/>
      <c r="AT176" s="104"/>
      <c r="AU176" s="104"/>
      <c r="AV176" s="104"/>
      <c r="AW176" s="104"/>
      <c r="AX176" s="104"/>
      <c r="AY176" s="104"/>
      <c r="AZ176" s="104"/>
      <c r="BA176" s="104"/>
      <c r="BB176" s="104"/>
      <c r="BC176" s="104"/>
      <c r="BD176" s="104"/>
      <c r="BE176" s="147"/>
      <c r="BF176" s="146"/>
      <c r="BG176" s="542">
        <v>116</v>
      </c>
      <c r="BH176" s="734"/>
      <c r="BI176" s="673"/>
      <c r="BJ176"/>
      <c r="BK176" s="104"/>
      <c r="BL176" s="104"/>
      <c r="BM176" s="104"/>
      <c r="BN176" s="104"/>
      <c r="BO176" s="104"/>
      <c r="BP176" s="104"/>
      <c r="BQ176" s="104"/>
      <c r="BR176" s="104"/>
      <c r="BS176" s="104"/>
      <c r="BT176" s="104"/>
      <c r="BU176" s="104"/>
      <c r="BV176" s="104"/>
      <c r="BW176" s="104"/>
      <c r="BX176" s="147"/>
    </row>
    <row r="177" spans="1:76">
      <c r="A177" s="146"/>
      <c r="B177" s="542">
        <v>117</v>
      </c>
      <c r="C177" s="734"/>
      <c r="D177" s="673"/>
      <c r="E177"/>
      <c r="F177" s="104"/>
      <c r="G177" s="104"/>
      <c r="H177" s="104"/>
      <c r="I177" s="104"/>
      <c r="J177" s="104"/>
      <c r="K177" s="104"/>
      <c r="L177" s="104"/>
      <c r="M177" s="104"/>
      <c r="N177" s="104"/>
      <c r="O177" s="104"/>
      <c r="P177" s="104"/>
      <c r="Q177" s="104"/>
      <c r="R177" s="104"/>
      <c r="S177" s="147"/>
      <c r="T177" s="146"/>
      <c r="U177" s="542">
        <v>117</v>
      </c>
      <c r="V177" s="734"/>
      <c r="W177" s="673"/>
      <c r="X177"/>
      <c r="Y177" s="104"/>
      <c r="Z177" s="104"/>
      <c r="AA177" s="104"/>
      <c r="AB177" s="104"/>
      <c r="AC177" s="104"/>
      <c r="AD177" s="104"/>
      <c r="AE177" s="104"/>
      <c r="AF177" s="104"/>
      <c r="AG177" s="104"/>
      <c r="AH177" s="104"/>
      <c r="AI177" s="104"/>
      <c r="AJ177" s="104"/>
      <c r="AK177" s="104"/>
      <c r="AL177" s="147"/>
      <c r="AM177" s="146"/>
      <c r="AN177" s="542">
        <v>117</v>
      </c>
      <c r="AO177" s="734"/>
      <c r="AP177" s="673"/>
      <c r="AQ177"/>
      <c r="AR177" s="104"/>
      <c r="AS177" s="104"/>
      <c r="AT177" s="104"/>
      <c r="AU177" s="104"/>
      <c r="AV177" s="104"/>
      <c r="AW177" s="104"/>
      <c r="AX177" s="104"/>
      <c r="AY177" s="104"/>
      <c r="AZ177" s="104"/>
      <c r="BA177" s="104"/>
      <c r="BB177" s="104"/>
      <c r="BC177" s="104"/>
      <c r="BD177" s="104"/>
      <c r="BE177" s="147"/>
      <c r="BF177" s="146"/>
      <c r="BG177" s="542">
        <v>117</v>
      </c>
      <c r="BH177" s="734"/>
      <c r="BI177" s="673"/>
      <c r="BJ177"/>
      <c r="BK177" s="104"/>
      <c r="BL177" s="104"/>
      <c r="BM177" s="104"/>
      <c r="BN177" s="104"/>
      <c r="BO177" s="104"/>
      <c r="BP177" s="104"/>
      <c r="BQ177" s="104"/>
      <c r="BR177" s="104"/>
      <c r="BS177" s="104"/>
      <c r="BT177" s="104"/>
      <c r="BU177" s="104"/>
      <c r="BV177" s="104"/>
      <c r="BW177" s="104"/>
      <c r="BX177" s="147"/>
    </row>
    <row r="178" spans="1:76">
      <c r="A178" s="146"/>
      <c r="B178" s="542">
        <v>118</v>
      </c>
      <c r="C178" s="734"/>
      <c r="D178" s="673"/>
      <c r="E178"/>
      <c r="F178" s="104"/>
      <c r="G178" s="104"/>
      <c r="H178" s="104"/>
      <c r="I178" s="104"/>
      <c r="J178" s="104"/>
      <c r="K178" s="104"/>
      <c r="L178" s="104"/>
      <c r="M178" s="104"/>
      <c r="N178" s="104"/>
      <c r="O178" s="104"/>
      <c r="P178" s="104"/>
      <c r="Q178" s="104"/>
      <c r="R178" s="104"/>
      <c r="S178" s="147"/>
      <c r="T178" s="146"/>
      <c r="U178" s="542">
        <v>118</v>
      </c>
      <c r="V178" s="734"/>
      <c r="W178" s="673"/>
      <c r="X178"/>
      <c r="Y178" s="104"/>
      <c r="Z178" s="104"/>
      <c r="AA178" s="104"/>
      <c r="AB178" s="104"/>
      <c r="AC178" s="104"/>
      <c r="AD178" s="104"/>
      <c r="AE178" s="104"/>
      <c r="AF178" s="104"/>
      <c r="AG178" s="104"/>
      <c r="AH178" s="104"/>
      <c r="AI178" s="104"/>
      <c r="AJ178" s="104"/>
      <c r="AK178" s="104"/>
      <c r="AL178" s="147"/>
      <c r="AM178" s="146"/>
      <c r="AN178" s="542">
        <v>118</v>
      </c>
      <c r="AO178" s="734"/>
      <c r="AP178" s="673"/>
      <c r="AQ178"/>
      <c r="AR178" s="104"/>
      <c r="AS178" s="104"/>
      <c r="AT178" s="104"/>
      <c r="AU178" s="104"/>
      <c r="AV178" s="104"/>
      <c r="AW178" s="104"/>
      <c r="AX178" s="104"/>
      <c r="AY178" s="104"/>
      <c r="AZ178" s="104"/>
      <c r="BA178" s="104"/>
      <c r="BB178" s="104"/>
      <c r="BC178" s="104"/>
      <c r="BD178" s="104"/>
      <c r="BE178" s="147"/>
      <c r="BF178" s="146"/>
      <c r="BG178" s="542">
        <v>118</v>
      </c>
      <c r="BH178" s="734"/>
      <c r="BI178" s="673"/>
      <c r="BJ178"/>
      <c r="BK178" s="104"/>
      <c r="BL178" s="104"/>
      <c r="BM178" s="104"/>
      <c r="BN178" s="104"/>
      <c r="BO178" s="104"/>
      <c r="BP178" s="104"/>
      <c r="BQ178" s="104"/>
      <c r="BR178" s="104"/>
      <c r="BS178" s="104"/>
      <c r="BT178" s="104"/>
      <c r="BU178" s="104"/>
      <c r="BV178" s="104"/>
      <c r="BW178" s="104"/>
      <c r="BX178" s="147"/>
    </row>
    <row r="179" spans="1:76">
      <c r="A179" s="146"/>
      <c r="B179" s="542">
        <v>119</v>
      </c>
      <c r="C179" s="734"/>
      <c r="D179" s="673"/>
      <c r="E179"/>
      <c r="F179" s="104"/>
      <c r="G179" s="104"/>
      <c r="H179" s="104"/>
      <c r="I179" s="104"/>
      <c r="J179" s="104"/>
      <c r="K179" s="104"/>
      <c r="L179" s="104"/>
      <c r="M179" s="104"/>
      <c r="N179" s="104"/>
      <c r="O179" s="104"/>
      <c r="P179" s="104"/>
      <c r="Q179" s="104"/>
      <c r="R179" s="104"/>
      <c r="S179" s="147"/>
      <c r="T179" s="146"/>
      <c r="U179" s="542">
        <v>119</v>
      </c>
      <c r="V179" s="734"/>
      <c r="W179" s="673"/>
      <c r="X179"/>
      <c r="Y179" s="104"/>
      <c r="Z179" s="104"/>
      <c r="AA179" s="104"/>
      <c r="AB179" s="104"/>
      <c r="AC179" s="104"/>
      <c r="AD179" s="104"/>
      <c r="AE179" s="104"/>
      <c r="AF179" s="104"/>
      <c r="AG179" s="104"/>
      <c r="AH179" s="104"/>
      <c r="AI179" s="104"/>
      <c r="AJ179" s="104"/>
      <c r="AK179" s="104"/>
      <c r="AL179" s="147"/>
      <c r="AM179" s="146"/>
      <c r="AN179" s="542">
        <v>119</v>
      </c>
      <c r="AO179" s="734"/>
      <c r="AP179" s="673"/>
      <c r="AQ179"/>
      <c r="AR179" s="104"/>
      <c r="AS179" s="104"/>
      <c r="AT179" s="104"/>
      <c r="AU179" s="104"/>
      <c r="AV179" s="104"/>
      <c r="AW179" s="104"/>
      <c r="AX179" s="104"/>
      <c r="AY179" s="104"/>
      <c r="AZ179" s="104"/>
      <c r="BA179" s="104"/>
      <c r="BB179" s="104"/>
      <c r="BC179" s="104"/>
      <c r="BD179" s="104"/>
      <c r="BE179" s="147"/>
      <c r="BF179" s="146"/>
      <c r="BG179" s="542">
        <v>119</v>
      </c>
      <c r="BH179" s="734"/>
      <c r="BI179" s="673"/>
      <c r="BJ179"/>
      <c r="BK179" s="104"/>
      <c r="BL179" s="104"/>
      <c r="BM179" s="104"/>
      <c r="BN179" s="104"/>
      <c r="BO179" s="104"/>
      <c r="BP179" s="104"/>
      <c r="BQ179" s="104"/>
      <c r="BR179" s="104"/>
      <c r="BS179" s="104"/>
      <c r="BT179" s="104"/>
      <c r="BU179" s="104"/>
      <c r="BV179" s="104"/>
      <c r="BW179" s="104"/>
      <c r="BX179" s="147"/>
    </row>
    <row r="180" spans="1:76">
      <c r="A180" s="146"/>
      <c r="B180" s="542">
        <v>120</v>
      </c>
      <c r="C180" s="734"/>
      <c r="D180" s="673"/>
      <c r="E180"/>
      <c r="F180" s="104"/>
      <c r="G180" s="104"/>
      <c r="H180" s="104"/>
      <c r="I180" s="104"/>
      <c r="J180" s="104"/>
      <c r="K180" s="104"/>
      <c r="L180" s="104"/>
      <c r="M180" s="104"/>
      <c r="N180" s="104"/>
      <c r="O180" s="104"/>
      <c r="P180" s="104"/>
      <c r="Q180" s="104"/>
      <c r="R180" s="104"/>
      <c r="S180" s="147"/>
      <c r="T180" s="146"/>
      <c r="U180" s="542">
        <v>120</v>
      </c>
      <c r="V180" s="734"/>
      <c r="W180" s="673"/>
      <c r="X180"/>
      <c r="Y180" s="104"/>
      <c r="Z180" s="104"/>
      <c r="AA180" s="104"/>
      <c r="AB180" s="104"/>
      <c r="AC180" s="104"/>
      <c r="AD180" s="104"/>
      <c r="AE180" s="104"/>
      <c r="AF180" s="104"/>
      <c r="AG180" s="104"/>
      <c r="AH180" s="104"/>
      <c r="AI180" s="104"/>
      <c r="AJ180" s="104"/>
      <c r="AK180" s="104"/>
      <c r="AL180" s="147"/>
      <c r="AM180" s="146"/>
      <c r="AN180" s="542">
        <v>120</v>
      </c>
      <c r="AO180" s="734"/>
      <c r="AP180" s="673"/>
      <c r="AQ180"/>
      <c r="AR180" s="104"/>
      <c r="AS180" s="104"/>
      <c r="AT180" s="104"/>
      <c r="AU180" s="104"/>
      <c r="AV180" s="104"/>
      <c r="AW180" s="104"/>
      <c r="AX180" s="104"/>
      <c r="AY180" s="104"/>
      <c r="AZ180" s="104"/>
      <c r="BA180" s="104"/>
      <c r="BB180" s="104"/>
      <c r="BC180" s="104"/>
      <c r="BD180" s="104"/>
      <c r="BE180" s="147"/>
      <c r="BF180" s="146"/>
      <c r="BG180" s="542">
        <v>120</v>
      </c>
      <c r="BH180" s="734"/>
      <c r="BI180" s="673"/>
      <c r="BJ180"/>
      <c r="BK180" s="104"/>
      <c r="BL180" s="104"/>
      <c r="BM180" s="104"/>
      <c r="BN180" s="104"/>
      <c r="BO180" s="104"/>
      <c r="BP180" s="104"/>
      <c r="BQ180" s="104"/>
      <c r="BR180" s="104"/>
      <c r="BS180" s="104"/>
      <c r="BT180" s="104"/>
      <c r="BU180" s="104"/>
      <c r="BV180" s="104"/>
      <c r="BW180" s="104"/>
      <c r="BX180" s="147"/>
    </row>
    <row r="181" spans="1:76">
      <c r="A181" s="104"/>
      <c r="B181" s="542">
        <v>121</v>
      </c>
      <c r="C181" s="734"/>
      <c r="D181" s="673"/>
      <c r="E181"/>
      <c r="F181" s="104"/>
      <c r="G181" s="104"/>
      <c r="H181" s="104"/>
      <c r="I181" s="104"/>
      <c r="J181" s="104"/>
      <c r="K181" s="104"/>
      <c r="L181" s="104"/>
      <c r="M181" s="104"/>
      <c r="N181" s="104"/>
      <c r="O181" s="104"/>
      <c r="P181" s="104"/>
      <c r="Q181" s="104"/>
      <c r="R181" s="104"/>
      <c r="S181" s="147"/>
      <c r="T181" s="104"/>
      <c r="U181" s="542">
        <v>121</v>
      </c>
      <c r="V181" s="734"/>
      <c r="W181" s="673"/>
      <c r="X181"/>
      <c r="Y181" s="104"/>
      <c r="Z181" s="104"/>
      <c r="AA181" s="104"/>
      <c r="AB181" s="104"/>
      <c r="AC181" s="104"/>
      <c r="AD181" s="104"/>
      <c r="AE181" s="104"/>
      <c r="AF181" s="104"/>
      <c r="AG181" s="104"/>
      <c r="AH181" s="104"/>
      <c r="AI181" s="104"/>
      <c r="AJ181" s="104"/>
      <c r="AK181" s="104"/>
      <c r="AL181" s="147"/>
      <c r="AM181" s="104"/>
      <c r="AN181" s="542">
        <v>121</v>
      </c>
      <c r="AO181" s="734"/>
      <c r="AP181" s="673"/>
      <c r="AQ181"/>
      <c r="AR181" s="104"/>
      <c r="AS181" s="104"/>
      <c r="AT181" s="104"/>
      <c r="AU181" s="104"/>
      <c r="AV181" s="104"/>
      <c r="AW181" s="104"/>
      <c r="AX181" s="104"/>
      <c r="AY181" s="104"/>
      <c r="AZ181" s="104"/>
      <c r="BA181" s="104"/>
      <c r="BB181" s="104"/>
      <c r="BC181" s="104"/>
      <c r="BD181" s="104"/>
      <c r="BE181" s="147"/>
      <c r="BF181" s="104"/>
      <c r="BG181" s="542">
        <v>121</v>
      </c>
      <c r="BH181" s="734"/>
      <c r="BI181" s="673"/>
      <c r="BJ181"/>
      <c r="BK181" s="104"/>
      <c r="BL181" s="104"/>
      <c r="BM181" s="104"/>
      <c r="BN181" s="104"/>
      <c r="BO181" s="104"/>
      <c r="BP181" s="104"/>
      <c r="BQ181" s="104"/>
      <c r="BR181" s="104"/>
      <c r="BS181" s="104"/>
      <c r="BT181" s="104"/>
      <c r="BU181" s="104"/>
      <c r="BV181" s="104"/>
      <c r="BW181" s="104"/>
      <c r="BX181" s="147"/>
    </row>
    <row r="182" spans="1:76">
      <c r="A182"/>
      <c r="B182" s="542">
        <v>122</v>
      </c>
      <c r="C182" s="734"/>
      <c r="D182" s="673"/>
      <c r="E182"/>
      <c r="F182"/>
      <c r="G182"/>
      <c r="H182"/>
      <c r="I182"/>
      <c r="J182"/>
      <c r="K182"/>
      <c r="L182"/>
      <c r="M182"/>
      <c r="N182"/>
      <c r="O182"/>
      <c r="P182"/>
      <c r="Q182"/>
      <c r="R182"/>
      <c r="S182" s="15"/>
      <c r="T182"/>
      <c r="U182" s="542">
        <v>122</v>
      </c>
      <c r="V182" s="734"/>
      <c r="W182" s="673"/>
      <c r="X182"/>
      <c r="Y182"/>
      <c r="Z182"/>
      <c r="AA182"/>
      <c r="AB182"/>
      <c r="AC182"/>
      <c r="AD182"/>
      <c r="AE182"/>
      <c r="AF182"/>
      <c r="AG182"/>
      <c r="AH182"/>
      <c r="AI182"/>
      <c r="AJ182"/>
      <c r="AK182"/>
      <c r="AL182" s="15"/>
      <c r="AM182"/>
      <c r="AN182" s="542">
        <v>122</v>
      </c>
      <c r="AO182" s="734"/>
      <c r="AP182" s="673"/>
      <c r="AQ182"/>
      <c r="AR182"/>
      <c r="AS182"/>
      <c r="AT182"/>
      <c r="AU182"/>
      <c r="AV182"/>
      <c r="AW182"/>
      <c r="AX182"/>
      <c r="AY182"/>
      <c r="AZ182"/>
      <c r="BA182"/>
      <c r="BB182"/>
      <c r="BC182"/>
      <c r="BD182"/>
      <c r="BE182" s="15"/>
      <c r="BF182"/>
      <c r="BG182" s="542">
        <v>122</v>
      </c>
      <c r="BH182" s="734"/>
      <c r="BI182" s="673"/>
      <c r="BJ182"/>
      <c r="BK182"/>
      <c r="BL182"/>
      <c r="BM182"/>
      <c r="BN182"/>
      <c r="BO182"/>
      <c r="BP182"/>
      <c r="BQ182"/>
      <c r="BR182"/>
      <c r="BS182"/>
      <c r="BT182"/>
      <c r="BU182"/>
      <c r="BV182"/>
      <c r="BW182"/>
      <c r="BX182" s="15"/>
    </row>
    <row r="183" spans="1:76">
      <c r="A183"/>
      <c r="B183" s="542">
        <v>123</v>
      </c>
      <c r="C183" s="734"/>
      <c r="D183" s="673"/>
      <c r="E183"/>
      <c r="F183"/>
      <c r="G183"/>
      <c r="H183"/>
      <c r="I183"/>
      <c r="J183"/>
      <c r="K183"/>
      <c r="L183"/>
      <c r="M183"/>
      <c r="N183"/>
      <c r="O183"/>
      <c r="P183"/>
      <c r="Q183"/>
      <c r="R183"/>
      <c r="S183" s="15"/>
      <c r="T183"/>
      <c r="U183" s="542">
        <v>123</v>
      </c>
      <c r="V183" s="734"/>
      <c r="W183" s="673"/>
      <c r="X183"/>
      <c r="Y183"/>
      <c r="Z183"/>
      <c r="AA183"/>
      <c r="AB183"/>
      <c r="AC183"/>
      <c r="AD183"/>
      <c r="AE183"/>
      <c r="AF183"/>
      <c r="AG183"/>
      <c r="AH183"/>
      <c r="AI183"/>
      <c r="AJ183"/>
      <c r="AK183"/>
      <c r="AL183" s="15"/>
      <c r="AM183"/>
      <c r="AN183" s="542">
        <v>123</v>
      </c>
      <c r="AO183" s="734"/>
      <c r="AP183" s="673"/>
      <c r="AQ183"/>
      <c r="AR183"/>
      <c r="AS183"/>
      <c r="AT183"/>
      <c r="AU183"/>
      <c r="AV183"/>
      <c r="AW183"/>
      <c r="AX183"/>
      <c r="AY183"/>
      <c r="AZ183"/>
      <c r="BA183"/>
      <c r="BB183"/>
      <c r="BC183"/>
      <c r="BD183"/>
      <c r="BE183" s="15"/>
      <c r="BF183"/>
      <c r="BG183" s="542">
        <v>123</v>
      </c>
      <c r="BH183" s="734"/>
      <c r="BI183" s="673"/>
      <c r="BJ183"/>
      <c r="BK183"/>
      <c r="BL183"/>
      <c r="BM183"/>
      <c r="BN183"/>
      <c r="BO183"/>
      <c r="BP183"/>
      <c r="BQ183"/>
      <c r="BR183"/>
      <c r="BS183"/>
      <c r="BT183"/>
      <c r="BU183"/>
      <c r="BV183"/>
      <c r="BW183"/>
      <c r="BX183" s="15"/>
    </row>
    <row r="184" spans="1:76">
      <c r="A184"/>
      <c r="B184" s="542">
        <v>124</v>
      </c>
      <c r="C184" s="734"/>
      <c r="D184" s="673"/>
      <c r="E184"/>
      <c r="F184"/>
      <c r="G184"/>
      <c r="H184"/>
      <c r="I184"/>
      <c r="J184"/>
      <c r="K184"/>
      <c r="L184"/>
      <c r="M184"/>
      <c r="N184"/>
      <c r="O184"/>
      <c r="P184"/>
      <c r="Q184"/>
      <c r="R184"/>
      <c r="S184" s="15"/>
      <c r="T184"/>
      <c r="U184" s="542">
        <v>124</v>
      </c>
      <c r="V184" s="734"/>
      <c r="W184" s="673"/>
      <c r="X184"/>
      <c r="Y184"/>
      <c r="Z184"/>
      <c r="AA184"/>
      <c r="AB184"/>
      <c r="AC184"/>
      <c r="AD184"/>
      <c r="AE184"/>
      <c r="AF184"/>
      <c r="AG184"/>
      <c r="AH184"/>
      <c r="AI184"/>
      <c r="AJ184"/>
      <c r="AK184"/>
      <c r="AL184" s="15"/>
      <c r="AM184"/>
      <c r="AN184" s="542">
        <v>124</v>
      </c>
      <c r="AO184" s="734"/>
      <c r="AP184" s="673"/>
      <c r="AQ184"/>
      <c r="AR184"/>
      <c r="AS184"/>
      <c r="AT184"/>
      <c r="AU184"/>
      <c r="AV184"/>
      <c r="AW184"/>
      <c r="AX184"/>
      <c r="AY184"/>
      <c r="AZ184"/>
      <c r="BA184"/>
      <c r="BB184"/>
      <c r="BC184"/>
      <c r="BD184"/>
      <c r="BE184" s="15"/>
      <c r="BF184"/>
      <c r="BG184" s="542">
        <v>124</v>
      </c>
      <c r="BH184" s="734"/>
      <c r="BI184" s="673"/>
      <c r="BJ184"/>
      <c r="BK184"/>
      <c r="BL184"/>
      <c r="BM184"/>
      <c r="BN184"/>
      <c r="BO184"/>
      <c r="BP184"/>
      <c r="BQ184"/>
      <c r="BR184"/>
      <c r="BS184"/>
      <c r="BT184"/>
      <c r="BU184"/>
      <c r="BV184"/>
      <c r="BW184"/>
      <c r="BX184" s="15"/>
    </row>
    <row r="185" spans="1:76">
      <c r="A185"/>
      <c r="B185" s="542">
        <v>125</v>
      </c>
      <c r="C185" s="734"/>
      <c r="D185" s="673"/>
      <c r="E185"/>
      <c r="F185"/>
      <c r="G185"/>
      <c r="H185"/>
      <c r="I185"/>
      <c r="J185"/>
      <c r="K185"/>
      <c r="L185"/>
      <c r="M185"/>
      <c r="N185"/>
      <c r="O185"/>
      <c r="P185"/>
      <c r="Q185"/>
      <c r="R185"/>
      <c r="S185" s="15"/>
      <c r="T185"/>
      <c r="U185" s="542">
        <v>125</v>
      </c>
      <c r="V185" s="734"/>
      <c r="W185" s="673"/>
      <c r="X185"/>
      <c r="Y185"/>
      <c r="Z185"/>
      <c r="AA185"/>
      <c r="AB185"/>
      <c r="AC185"/>
      <c r="AD185"/>
      <c r="AE185"/>
      <c r="AF185"/>
      <c r="AG185"/>
      <c r="AH185"/>
      <c r="AI185"/>
      <c r="AJ185"/>
      <c r="AK185"/>
      <c r="AL185" s="15"/>
      <c r="AM185"/>
      <c r="AN185" s="542">
        <v>125</v>
      </c>
      <c r="AO185" s="734"/>
      <c r="AP185" s="673"/>
      <c r="AQ185"/>
      <c r="AR185"/>
      <c r="AS185"/>
      <c r="AT185"/>
      <c r="AU185"/>
      <c r="AV185"/>
      <c r="AW185"/>
      <c r="AX185"/>
      <c r="AY185"/>
      <c r="AZ185"/>
      <c r="BA185"/>
      <c r="BB185"/>
      <c r="BC185"/>
      <c r="BD185"/>
      <c r="BE185" s="15"/>
      <c r="BF185"/>
      <c r="BG185" s="542">
        <v>125</v>
      </c>
      <c r="BH185" s="734"/>
      <c r="BI185" s="673"/>
      <c r="BJ185"/>
      <c r="BK185"/>
      <c r="BL185"/>
      <c r="BM185"/>
      <c r="BN185"/>
      <c r="BO185"/>
      <c r="BP185"/>
      <c r="BQ185"/>
      <c r="BR185"/>
      <c r="BS185"/>
      <c r="BT185"/>
      <c r="BU185"/>
      <c r="BV185"/>
      <c r="BW185"/>
      <c r="BX185" s="15"/>
    </row>
    <row r="186" spans="1:76">
      <c r="A186"/>
      <c r="B186" s="542">
        <v>126</v>
      </c>
      <c r="C186" s="734"/>
      <c r="D186" s="673"/>
      <c r="E186"/>
      <c r="F186"/>
      <c r="G186"/>
      <c r="H186"/>
      <c r="I186"/>
      <c r="J186"/>
      <c r="K186"/>
      <c r="L186"/>
      <c r="M186"/>
      <c r="N186"/>
      <c r="O186"/>
      <c r="P186"/>
      <c r="Q186"/>
      <c r="R186"/>
      <c r="S186" s="15"/>
      <c r="T186"/>
      <c r="U186" s="542">
        <v>126</v>
      </c>
      <c r="V186" s="734"/>
      <c r="W186" s="673"/>
      <c r="X186"/>
      <c r="Y186"/>
      <c r="Z186"/>
      <c r="AA186"/>
      <c r="AB186"/>
      <c r="AC186"/>
      <c r="AD186"/>
      <c r="AE186"/>
      <c r="AF186"/>
      <c r="AG186"/>
      <c r="AH186"/>
      <c r="AI186"/>
      <c r="AJ186"/>
      <c r="AK186"/>
      <c r="AL186" s="15"/>
      <c r="AM186"/>
      <c r="AN186" s="542">
        <v>126</v>
      </c>
      <c r="AO186" s="734"/>
      <c r="AP186" s="673"/>
      <c r="AQ186"/>
      <c r="AR186"/>
      <c r="AS186"/>
      <c r="AT186"/>
      <c r="AU186"/>
      <c r="AV186"/>
      <c r="AW186"/>
      <c r="AX186"/>
      <c r="AY186"/>
      <c r="AZ186"/>
      <c r="BA186"/>
      <c r="BB186"/>
      <c r="BC186"/>
      <c r="BD186"/>
      <c r="BE186" s="15"/>
      <c r="BF186"/>
      <c r="BG186" s="542">
        <v>126</v>
      </c>
      <c r="BH186" s="734"/>
      <c r="BI186" s="673"/>
      <c r="BJ186"/>
      <c r="BK186"/>
      <c r="BL186"/>
      <c r="BM186"/>
      <c r="BN186"/>
      <c r="BO186"/>
      <c r="BP186"/>
      <c r="BQ186"/>
      <c r="BR186"/>
      <c r="BS186"/>
      <c r="BT186"/>
      <c r="BU186"/>
      <c r="BV186"/>
      <c r="BW186"/>
      <c r="BX186" s="15"/>
    </row>
    <row r="187" spans="1:76">
      <c r="A187"/>
      <c r="B187" s="542">
        <v>127</v>
      </c>
      <c r="C187" s="734"/>
      <c r="D187" s="673"/>
      <c r="E187"/>
      <c r="F187"/>
      <c r="G187"/>
      <c r="H187"/>
      <c r="I187"/>
      <c r="J187"/>
      <c r="K187"/>
      <c r="L187"/>
      <c r="M187"/>
      <c r="N187"/>
      <c r="O187"/>
      <c r="P187"/>
      <c r="Q187"/>
      <c r="R187"/>
      <c r="S187" s="15"/>
      <c r="T187"/>
      <c r="U187" s="542">
        <v>127</v>
      </c>
      <c r="V187" s="734"/>
      <c r="W187" s="673"/>
      <c r="X187"/>
      <c r="Y187"/>
      <c r="Z187"/>
      <c r="AA187"/>
      <c r="AB187"/>
      <c r="AC187"/>
      <c r="AD187"/>
      <c r="AE187"/>
      <c r="AF187"/>
      <c r="AG187"/>
      <c r="AH187"/>
      <c r="AI187"/>
      <c r="AJ187"/>
      <c r="AK187"/>
      <c r="AL187" s="15"/>
      <c r="AM187"/>
      <c r="AN187" s="542">
        <v>127</v>
      </c>
      <c r="AO187" s="734"/>
      <c r="AP187" s="673"/>
      <c r="AQ187"/>
      <c r="AR187"/>
      <c r="AS187"/>
      <c r="AT187"/>
      <c r="AU187"/>
      <c r="AV187"/>
      <c r="AW187"/>
      <c r="AX187"/>
      <c r="AY187"/>
      <c r="AZ187"/>
      <c r="BA187"/>
      <c r="BB187"/>
      <c r="BC187"/>
      <c r="BD187"/>
      <c r="BE187" s="15"/>
      <c r="BF187"/>
      <c r="BG187" s="542">
        <v>127</v>
      </c>
      <c r="BH187" s="734"/>
      <c r="BI187" s="673"/>
      <c r="BJ187"/>
      <c r="BK187"/>
      <c r="BL187"/>
      <c r="BM187"/>
      <c r="BN187"/>
      <c r="BO187"/>
      <c r="BP187"/>
      <c r="BQ187"/>
      <c r="BR187"/>
      <c r="BS187"/>
      <c r="BT187"/>
      <c r="BU187"/>
      <c r="BV187"/>
      <c r="BW187"/>
      <c r="BX187" s="15"/>
    </row>
    <row r="188" spans="1:76">
      <c r="A188"/>
      <c r="B188" s="542">
        <v>128</v>
      </c>
      <c r="C188" s="734"/>
      <c r="D188" s="673"/>
      <c r="E188"/>
      <c r="F188"/>
      <c r="G188"/>
      <c r="H188"/>
      <c r="I188"/>
      <c r="J188"/>
      <c r="K188"/>
      <c r="L188"/>
      <c r="M188"/>
      <c r="N188"/>
      <c r="O188"/>
      <c r="P188"/>
      <c r="Q188"/>
      <c r="R188"/>
      <c r="S188" s="15"/>
      <c r="T188"/>
      <c r="U188" s="542">
        <v>128</v>
      </c>
      <c r="V188" s="734"/>
      <c r="W188" s="673"/>
      <c r="X188"/>
      <c r="Y188"/>
      <c r="Z188"/>
      <c r="AA188"/>
      <c r="AB188"/>
      <c r="AC188"/>
      <c r="AD188"/>
      <c r="AE188"/>
      <c r="AF188"/>
      <c r="AG188"/>
      <c r="AH188"/>
      <c r="AI188"/>
      <c r="AJ188"/>
      <c r="AK188"/>
      <c r="AL188" s="15"/>
      <c r="AM188"/>
      <c r="AN188" s="542">
        <v>128</v>
      </c>
      <c r="AO188" s="734"/>
      <c r="AP188" s="673"/>
      <c r="AQ188"/>
      <c r="AR188"/>
      <c r="AS188"/>
      <c r="AT188"/>
      <c r="AU188"/>
      <c r="AV188"/>
      <c r="AW188"/>
      <c r="AX188"/>
      <c r="AY188"/>
      <c r="AZ188"/>
      <c r="BA188"/>
      <c r="BB188"/>
      <c r="BC188"/>
      <c r="BD188"/>
      <c r="BE188" s="15"/>
      <c r="BF188"/>
      <c r="BG188" s="542">
        <v>128</v>
      </c>
      <c r="BH188" s="734"/>
      <c r="BI188" s="673"/>
      <c r="BJ188"/>
      <c r="BK188"/>
      <c r="BL188"/>
      <c r="BM188"/>
      <c r="BN188"/>
      <c r="BO188"/>
      <c r="BP188"/>
      <c r="BQ188"/>
      <c r="BR188"/>
      <c r="BS188"/>
      <c r="BT188"/>
      <c r="BU188"/>
      <c r="BV188"/>
      <c r="BW188"/>
      <c r="BX188" s="15"/>
    </row>
    <row r="189" spans="1:76">
      <c r="A189"/>
      <c r="B189" s="542">
        <v>129</v>
      </c>
      <c r="C189" s="734"/>
      <c r="D189" s="673"/>
      <c r="E189"/>
      <c r="F189"/>
      <c r="G189"/>
      <c r="H189"/>
      <c r="I189"/>
      <c r="J189"/>
      <c r="K189"/>
      <c r="L189"/>
      <c r="M189"/>
      <c r="N189"/>
      <c r="O189"/>
      <c r="P189"/>
      <c r="Q189"/>
      <c r="R189"/>
      <c r="S189" s="15"/>
      <c r="T189"/>
      <c r="U189" s="542">
        <v>129</v>
      </c>
      <c r="V189" s="734"/>
      <c r="W189" s="673"/>
      <c r="X189"/>
      <c r="Y189"/>
      <c r="Z189"/>
      <c r="AA189"/>
      <c r="AB189"/>
      <c r="AC189"/>
      <c r="AD189"/>
      <c r="AE189"/>
      <c r="AF189"/>
      <c r="AG189"/>
      <c r="AH189"/>
      <c r="AI189"/>
      <c r="AJ189"/>
      <c r="AK189"/>
      <c r="AL189" s="15"/>
      <c r="AM189"/>
      <c r="AN189" s="542">
        <v>129</v>
      </c>
      <c r="AO189" s="734"/>
      <c r="AP189" s="673"/>
      <c r="AQ189"/>
      <c r="AR189"/>
      <c r="AS189"/>
      <c r="AT189"/>
      <c r="AU189"/>
      <c r="AV189"/>
      <c r="AW189"/>
      <c r="AX189"/>
      <c r="AY189"/>
      <c r="AZ189"/>
      <c r="BA189"/>
      <c r="BB189"/>
      <c r="BC189"/>
      <c r="BD189"/>
      <c r="BE189" s="15"/>
      <c r="BF189"/>
      <c r="BG189" s="542">
        <v>129</v>
      </c>
      <c r="BH189" s="734"/>
      <c r="BI189" s="673"/>
      <c r="BJ189"/>
      <c r="BK189"/>
      <c r="BL189"/>
      <c r="BM189"/>
      <c r="BN189"/>
      <c r="BO189"/>
      <c r="BP189"/>
      <c r="BQ189"/>
      <c r="BR189"/>
      <c r="BS189"/>
      <c r="BT189"/>
      <c r="BU189"/>
      <c r="BV189"/>
      <c r="BW189"/>
      <c r="BX189" s="15"/>
    </row>
    <row r="190" spans="1:76">
      <c r="A190"/>
      <c r="B190" s="542">
        <v>130</v>
      </c>
      <c r="C190" s="734"/>
      <c r="D190" s="673"/>
      <c r="E190"/>
      <c r="F190"/>
      <c r="G190"/>
      <c r="H190"/>
      <c r="I190"/>
      <c r="J190"/>
      <c r="K190"/>
      <c r="L190"/>
      <c r="M190"/>
      <c r="N190"/>
      <c r="O190"/>
      <c r="P190"/>
      <c r="Q190"/>
      <c r="R190"/>
      <c r="S190" s="15"/>
      <c r="T190"/>
      <c r="U190" s="542">
        <v>130</v>
      </c>
      <c r="V190" s="734"/>
      <c r="W190" s="673"/>
      <c r="X190"/>
      <c r="Y190"/>
      <c r="Z190"/>
      <c r="AA190"/>
      <c r="AB190"/>
      <c r="AC190"/>
      <c r="AD190"/>
      <c r="AE190"/>
      <c r="AF190"/>
      <c r="AG190"/>
      <c r="AH190"/>
      <c r="AI190"/>
      <c r="AJ190"/>
      <c r="AK190"/>
      <c r="AL190" s="15"/>
      <c r="AM190"/>
      <c r="AN190" s="542">
        <v>130</v>
      </c>
      <c r="AO190" s="734"/>
      <c r="AP190" s="673"/>
      <c r="AQ190"/>
      <c r="AR190"/>
      <c r="AS190"/>
      <c r="AT190"/>
      <c r="AU190"/>
      <c r="AV190"/>
      <c r="AW190"/>
      <c r="AX190"/>
      <c r="AY190"/>
      <c r="AZ190"/>
      <c r="BA190"/>
      <c r="BB190"/>
      <c r="BC190"/>
      <c r="BD190"/>
      <c r="BE190" s="15"/>
      <c r="BF190"/>
      <c r="BG190" s="542">
        <v>130</v>
      </c>
      <c r="BH190" s="734"/>
      <c r="BI190" s="673"/>
      <c r="BJ190"/>
      <c r="BK190"/>
      <c r="BL190"/>
      <c r="BM190"/>
      <c r="BN190"/>
      <c r="BO190"/>
      <c r="BP190"/>
      <c r="BQ190"/>
      <c r="BR190"/>
      <c r="BS190"/>
      <c r="BT190"/>
      <c r="BU190"/>
      <c r="BV190"/>
      <c r="BW190"/>
      <c r="BX190" s="15"/>
    </row>
    <row r="191" spans="1:76">
      <c r="A191"/>
      <c r="B191" s="542">
        <v>131</v>
      </c>
      <c r="C191" s="734"/>
      <c r="D191" s="673"/>
      <c r="E191"/>
      <c r="F191"/>
      <c r="G191"/>
      <c r="H191"/>
      <c r="I191"/>
      <c r="J191"/>
      <c r="K191"/>
      <c r="L191"/>
      <c r="M191"/>
      <c r="N191"/>
      <c r="O191"/>
      <c r="P191"/>
      <c r="Q191"/>
      <c r="R191"/>
      <c r="S191" s="15"/>
      <c r="T191"/>
      <c r="U191" s="542">
        <v>131</v>
      </c>
      <c r="V191" s="734"/>
      <c r="W191" s="673"/>
      <c r="X191"/>
      <c r="Y191"/>
      <c r="Z191"/>
      <c r="AA191"/>
      <c r="AB191"/>
      <c r="AC191"/>
      <c r="AD191"/>
      <c r="AE191"/>
      <c r="AF191"/>
      <c r="AG191"/>
      <c r="AH191"/>
      <c r="AI191"/>
      <c r="AJ191"/>
      <c r="AK191"/>
      <c r="AL191" s="15"/>
      <c r="AM191"/>
      <c r="AN191" s="542">
        <v>131</v>
      </c>
      <c r="AO191" s="734"/>
      <c r="AP191" s="673"/>
      <c r="AQ191"/>
      <c r="AR191"/>
      <c r="AS191"/>
      <c r="AT191"/>
      <c r="AU191"/>
      <c r="AV191"/>
      <c r="AW191"/>
      <c r="AX191"/>
      <c r="AY191"/>
      <c r="AZ191"/>
      <c r="BA191"/>
      <c r="BB191"/>
      <c r="BC191"/>
      <c r="BD191"/>
      <c r="BE191" s="15"/>
      <c r="BF191"/>
      <c r="BG191" s="542">
        <v>131</v>
      </c>
      <c r="BH191" s="734"/>
      <c r="BI191" s="673"/>
      <c r="BJ191"/>
      <c r="BK191"/>
      <c r="BL191"/>
      <c r="BM191"/>
      <c r="BN191"/>
      <c r="BO191"/>
      <c r="BP191"/>
      <c r="BQ191"/>
      <c r="BR191"/>
      <c r="BS191"/>
      <c r="BT191"/>
      <c r="BU191"/>
      <c r="BV191"/>
      <c r="BW191"/>
      <c r="BX191" s="15"/>
    </row>
    <row r="192" spans="1:76">
      <c r="A192"/>
      <c r="B192" s="542">
        <v>132</v>
      </c>
      <c r="C192" s="734"/>
      <c r="D192" s="673"/>
      <c r="E192"/>
      <c r="F192"/>
      <c r="G192"/>
      <c r="H192"/>
      <c r="I192"/>
      <c r="J192"/>
      <c r="K192"/>
      <c r="L192"/>
      <c r="M192"/>
      <c r="N192"/>
      <c r="O192"/>
      <c r="P192"/>
      <c r="Q192"/>
      <c r="R192"/>
      <c r="S192" s="15"/>
      <c r="T192"/>
      <c r="U192" s="542">
        <v>132</v>
      </c>
      <c r="V192" s="734"/>
      <c r="W192" s="673"/>
      <c r="X192"/>
      <c r="Y192"/>
      <c r="Z192"/>
      <c r="AA192"/>
      <c r="AB192"/>
      <c r="AC192"/>
      <c r="AD192"/>
      <c r="AE192"/>
      <c r="AF192"/>
      <c r="AG192"/>
      <c r="AH192"/>
      <c r="AI192"/>
      <c r="AJ192"/>
      <c r="AK192"/>
      <c r="AL192" s="15"/>
      <c r="AM192"/>
      <c r="AN192" s="542">
        <v>132</v>
      </c>
      <c r="AO192" s="734"/>
      <c r="AP192" s="673"/>
      <c r="AQ192"/>
      <c r="AR192"/>
      <c r="AS192"/>
      <c r="AT192"/>
      <c r="AU192"/>
      <c r="AV192"/>
      <c r="AW192"/>
      <c r="AX192"/>
      <c r="AY192"/>
      <c r="AZ192"/>
      <c r="BA192"/>
      <c r="BB192"/>
      <c r="BC192"/>
      <c r="BD192"/>
      <c r="BE192" s="15"/>
      <c r="BF192"/>
      <c r="BG192" s="542">
        <v>132</v>
      </c>
      <c r="BH192" s="734"/>
      <c r="BI192" s="673"/>
      <c r="BJ192"/>
      <c r="BK192"/>
      <c r="BL192"/>
      <c r="BM192"/>
      <c r="BN192"/>
      <c r="BO192"/>
      <c r="BP192"/>
      <c r="BQ192"/>
      <c r="BR192"/>
      <c r="BS192"/>
      <c r="BT192"/>
      <c r="BU192"/>
      <c r="BV192"/>
      <c r="BW192"/>
      <c r="BX192" s="15"/>
    </row>
    <row r="193" spans="1:76">
      <c r="A193"/>
      <c r="B193" s="542">
        <v>133</v>
      </c>
      <c r="C193" s="734"/>
      <c r="D193" s="673"/>
      <c r="E193"/>
      <c r="F193"/>
      <c r="G193"/>
      <c r="H193"/>
      <c r="I193"/>
      <c r="J193"/>
      <c r="K193"/>
      <c r="L193"/>
      <c r="M193"/>
      <c r="N193"/>
      <c r="O193"/>
      <c r="P193"/>
      <c r="Q193"/>
      <c r="R193"/>
      <c r="S193" s="15"/>
      <c r="T193"/>
      <c r="U193" s="542">
        <v>133</v>
      </c>
      <c r="V193" s="734"/>
      <c r="W193" s="673"/>
      <c r="X193"/>
      <c r="Y193"/>
      <c r="Z193"/>
      <c r="AA193"/>
      <c r="AB193"/>
      <c r="AC193"/>
      <c r="AD193"/>
      <c r="AE193"/>
      <c r="AF193"/>
      <c r="AG193"/>
      <c r="AH193"/>
      <c r="AI193"/>
      <c r="AJ193"/>
      <c r="AK193"/>
      <c r="AL193" s="15"/>
      <c r="AM193"/>
      <c r="AN193" s="542">
        <v>133</v>
      </c>
      <c r="AO193" s="734"/>
      <c r="AP193" s="673"/>
      <c r="AQ193"/>
      <c r="AR193"/>
      <c r="AS193"/>
      <c r="AT193"/>
      <c r="AU193"/>
      <c r="AV193"/>
      <c r="AW193"/>
      <c r="AX193"/>
      <c r="AY193"/>
      <c r="AZ193"/>
      <c r="BA193"/>
      <c r="BB193"/>
      <c r="BC193"/>
      <c r="BD193"/>
      <c r="BE193" s="15"/>
      <c r="BF193"/>
      <c r="BG193" s="542">
        <v>133</v>
      </c>
      <c r="BH193" s="734"/>
      <c r="BI193" s="673"/>
      <c r="BJ193"/>
      <c r="BK193"/>
      <c r="BL193"/>
      <c r="BM193"/>
      <c r="BN193"/>
      <c r="BO193"/>
      <c r="BP193"/>
      <c r="BQ193"/>
      <c r="BR193"/>
      <c r="BS193"/>
      <c r="BT193"/>
      <c r="BU193"/>
      <c r="BV193"/>
      <c r="BW193"/>
      <c r="BX193" s="15"/>
    </row>
    <row r="194" spans="1:76">
      <c r="A194"/>
      <c r="B194" s="542">
        <v>134</v>
      </c>
      <c r="C194" s="734"/>
      <c r="D194" s="673"/>
      <c r="E194"/>
      <c r="F194"/>
      <c r="G194"/>
      <c r="H194"/>
      <c r="I194"/>
      <c r="J194"/>
      <c r="K194"/>
      <c r="L194"/>
      <c r="M194"/>
      <c r="N194"/>
      <c r="O194"/>
      <c r="P194"/>
      <c r="Q194"/>
      <c r="R194"/>
      <c r="S194" s="15"/>
      <c r="T194"/>
      <c r="U194" s="542">
        <v>134</v>
      </c>
      <c r="V194" s="734"/>
      <c r="W194" s="673"/>
      <c r="X194"/>
      <c r="Y194"/>
      <c r="Z194"/>
      <c r="AA194"/>
      <c r="AB194"/>
      <c r="AC194"/>
      <c r="AD194"/>
      <c r="AE194"/>
      <c r="AF194"/>
      <c r="AG194"/>
      <c r="AH194"/>
      <c r="AI194"/>
      <c r="AJ194"/>
      <c r="AK194"/>
      <c r="AL194" s="15"/>
      <c r="AM194"/>
      <c r="AN194" s="542">
        <v>134</v>
      </c>
      <c r="AO194" s="734"/>
      <c r="AP194" s="673"/>
      <c r="AQ194"/>
      <c r="AR194"/>
      <c r="AS194"/>
      <c r="AT194"/>
      <c r="AU194"/>
      <c r="AV194"/>
      <c r="AW194"/>
      <c r="AX194"/>
      <c r="AY194"/>
      <c r="AZ194"/>
      <c r="BA194"/>
      <c r="BB194"/>
      <c r="BC194"/>
      <c r="BD194"/>
      <c r="BE194" s="15"/>
      <c r="BF194"/>
      <c r="BG194" s="542">
        <v>134</v>
      </c>
      <c r="BH194" s="734"/>
      <c r="BI194" s="673"/>
      <c r="BJ194"/>
      <c r="BK194"/>
      <c r="BL194"/>
      <c r="BM194"/>
      <c r="BN194"/>
      <c r="BO194"/>
      <c r="BP194"/>
      <c r="BQ194"/>
      <c r="BR194"/>
      <c r="BS194"/>
      <c r="BT194"/>
      <c r="BU194"/>
      <c r="BV194"/>
      <c r="BW194"/>
      <c r="BX194" s="15"/>
    </row>
    <row r="195" spans="1:76">
      <c r="A195"/>
      <c r="B195" s="542">
        <v>135</v>
      </c>
      <c r="C195" s="734"/>
      <c r="D195" s="673"/>
      <c r="E195"/>
      <c r="F195"/>
      <c r="G195"/>
      <c r="H195"/>
      <c r="I195"/>
      <c r="J195"/>
      <c r="K195"/>
      <c r="L195"/>
      <c r="M195"/>
      <c r="N195"/>
      <c r="O195"/>
      <c r="P195"/>
      <c r="Q195"/>
      <c r="R195"/>
      <c r="S195" s="15"/>
      <c r="T195"/>
      <c r="U195" s="542">
        <v>135</v>
      </c>
      <c r="V195" s="734"/>
      <c r="W195" s="673"/>
      <c r="X195"/>
      <c r="Y195"/>
      <c r="Z195"/>
      <c r="AA195"/>
      <c r="AB195"/>
      <c r="AC195"/>
      <c r="AD195"/>
      <c r="AE195"/>
      <c r="AF195"/>
      <c r="AG195"/>
      <c r="AH195"/>
      <c r="AI195"/>
      <c r="AJ195"/>
      <c r="AK195"/>
      <c r="AL195" s="15"/>
      <c r="AM195"/>
      <c r="AN195" s="542">
        <v>135</v>
      </c>
      <c r="AO195" s="734"/>
      <c r="AP195" s="673"/>
      <c r="AQ195"/>
      <c r="AR195"/>
      <c r="AS195"/>
      <c r="AT195"/>
      <c r="AU195"/>
      <c r="AV195"/>
      <c r="AW195"/>
      <c r="AX195"/>
      <c r="AY195"/>
      <c r="AZ195"/>
      <c r="BA195"/>
      <c r="BB195"/>
      <c r="BC195"/>
      <c r="BD195"/>
      <c r="BE195" s="15"/>
      <c r="BF195"/>
      <c r="BG195" s="542">
        <v>135</v>
      </c>
      <c r="BH195" s="734"/>
      <c r="BI195" s="673"/>
      <c r="BJ195"/>
      <c r="BK195"/>
      <c r="BL195"/>
      <c r="BM195"/>
      <c r="BN195"/>
      <c r="BO195"/>
      <c r="BP195"/>
      <c r="BQ195"/>
      <c r="BR195"/>
      <c r="BS195"/>
      <c r="BT195"/>
      <c r="BU195"/>
      <c r="BV195"/>
      <c r="BW195"/>
      <c r="BX195" s="15"/>
    </row>
    <row r="196" spans="1:76">
      <c r="A196"/>
      <c r="B196" s="542">
        <v>136</v>
      </c>
      <c r="C196" s="734"/>
      <c r="D196" s="673"/>
      <c r="E196"/>
      <c r="F196"/>
      <c r="G196"/>
      <c r="H196"/>
      <c r="I196"/>
      <c r="J196"/>
      <c r="K196"/>
      <c r="L196"/>
      <c r="M196"/>
      <c r="N196"/>
      <c r="O196"/>
      <c r="P196"/>
      <c r="Q196"/>
      <c r="R196"/>
      <c r="S196" s="15"/>
      <c r="T196"/>
      <c r="U196" s="542">
        <v>136</v>
      </c>
      <c r="V196" s="734"/>
      <c r="W196" s="673"/>
      <c r="X196"/>
      <c r="Y196"/>
      <c r="Z196"/>
      <c r="AA196"/>
      <c r="AB196"/>
      <c r="AC196"/>
      <c r="AD196"/>
      <c r="AE196"/>
      <c r="AF196"/>
      <c r="AG196"/>
      <c r="AH196"/>
      <c r="AI196"/>
      <c r="AJ196"/>
      <c r="AK196"/>
      <c r="AL196" s="15"/>
      <c r="AM196"/>
      <c r="AN196" s="542">
        <v>136</v>
      </c>
      <c r="AO196" s="734"/>
      <c r="AP196" s="673"/>
      <c r="AQ196"/>
      <c r="AR196"/>
      <c r="AS196"/>
      <c r="AT196"/>
      <c r="AU196"/>
      <c r="AV196"/>
      <c r="AW196"/>
      <c r="AX196"/>
      <c r="AY196"/>
      <c r="AZ196"/>
      <c r="BA196"/>
      <c r="BB196"/>
      <c r="BC196"/>
      <c r="BD196"/>
      <c r="BE196" s="15"/>
      <c r="BF196"/>
      <c r="BG196" s="542">
        <v>136</v>
      </c>
      <c r="BH196" s="734"/>
      <c r="BI196" s="673"/>
      <c r="BJ196"/>
      <c r="BK196"/>
      <c r="BL196"/>
      <c r="BM196"/>
      <c r="BN196"/>
      <c r="BO196"/>
      <c r="BP196"/>
      <c r="BQ196"/>
      <c r="BR196"/>
      <c r="BS196"/>
      <c r="BT196"/>
      <c r="BU196"/>
      <c r="BV196"/>
      <c r="BW196"/>
      <c r="BX196" s="15"/>
    </row>
    <row r="197" spans="1:76">
      <c r="A197"/>
      <c r="B197" s="542">
        <v>137</v>
      </c>
      <c r="C197" s="734"/>
      <c r="D197" s="673"/>
      <c r="E197"/>
      <c r="F197"/>
      <c r="G197"/>
      <c r="H197"/>
      <c r="I197"/>
      <c r="J197"/>
      <c r="K197"/>
      <c r="L197"/>
      <c r="M197"/>
      <c r="N197"/>
      <c r="O197"/>
      <c r="P197"/>
      <c r="Q197"/>
      <c r="R197"/>
      <c r="S197" s="15"/>
      <c r="T197"/>
      <c r="U197" s="542">
        <v>137</v>
      </c>
      <c r="V197" s="734"/>
      <c r="W197" s="673"/>
      <c r="X197"/>
      <c r="Y197"/>
      <c r="Z197"/>
      <c r="AA197"/>
      <c r="AB197"/>
      <c r="AC197"/>
      <c r="AD197"/>
      <c r="AE197"/>
      <c r="AF197"/>
      <c r="AG197"/>
      <c r="AH197"/>
      <c r="AI197"/>
      <c r="AJ197"/>
      <c r="AK197"/>
      <c r="AL197" s="15"/>
      <c r="AM197"/>
      <c r="AN197" s="542">
        <v>137</v>
      </c>
      <c r="AO197" s="734"/>
      <c r="AP197" s="673"/>
      <c r="AQ197"/>
      <c r="AR197"/>
      <c r="AS197"/>
      <c r="AT197"/>
      <c r="AU197"/>
      <c r="AV197"/>
      <c r="AW197"/>
      <c r="AX197"/>
      <c r="AY197"/>
      <c r="AZ197"/>
      <c r="BA197"/>
      <c r="BB197"/>
      <c r="BC197"/>
      <c r="BD197"/>
      <c r="BE197" s="15"/>
      <c r="BF197"/>
      <c r="BG197" s="542">
        <v>137</v>
      </c>
      <c r="BH197" s="734"/>
      <c r="BI197" s="673"/>
      <c r="BJ197"/>
      <c r="BK197"/>
      <c r="BL197"/>
      <c r="BM197"/>
      <c r="BN197"/>
      <c r="BO197"/>
      <c r="BP197"/>
      <c r="BQ197"/>
      <c r="BR197"/>
      <c r="BS197"/>
      <c r="BT197"/>
      <c r="BU197"/>
      <c r="BV197"/>
      <c r="BW197"/>
      <c r="BX197" s="15"/>
    </row>
    <row r="198" spans="1:76">
      <c r="A198"/>
      <c r="B198" s="542">
        <v>138</v>
      </c>
      <c r="C198" s="734"/>
      <c r="D198" s="673"/>
      <c r="E198"/>
      <c r="F198"/>
      <c r="G198"/>
      <c r="H198"/>
      <c r="I198"/>
      <c r="J198"/>
      <c r="K198"/>
      <c r="L198"/>
      <c r="M198"/>
      <c r="N198"/>
      <c r="O198"/>
      <c r="P198"/>
      <c r="Q198"/>
      <c r="R198"/>
      <c r="S198" s="15"/>
      <c r="T198"/>
      <c r="U198" s="542">
        <v>138</v>
      </c>
      <c r="V198" s="734"/>
      <c r="W198" s="673"/>
      <c r="X198"/>
      <c r="Y198"/>
      <c r="Z198"/>
      <c r="AA198"/>
      <c r="AB198"/>
      <c r="AC198"/>
      <c r="AD198"/>
      <c r="AE198"/>
      <c r="AF198"/>
      <c r="AG198"/>
      <c r="AH198"/>
      <c r="AI198"/>
      <c r="AJ198"/>
      <c r="AK198"/>
      <c r="AL198" s="15"/>
      <c r="AM198"/>
      <c r="AN198" s="542">
        <v>138</v>
      </c>
      <c r="AO198" s="734"/>
      <c r="AP198" s="673"/>
      <c r="AQ198"/>
      <c r="AR198"/>
      <c r="AS198"/>
      <c r="AT198"/>
      <c r="AU198"/>
      <c r="AV198"/>
      <c r="AW198"/>
      <c r="AX198"/>
      <c r="AY198"/>
      <c r="AZ198"/>
      <c r="BA198"/>
      <c r="BB198"/>
      <c r="BC198"/>
      <c r="BD198"/>
      <c r="BE198" s="15"/>
      <c r="BF198"/>
      <c r="BG198" s="542">
        <v>138</v>
      </c>
      <c r="BH198" s="734"/>
      <c r="BI198" s="673"/>
      <c r="BJ198"/>
      <c r="BK198"/>
      <c r="BL198"/>
      <c r="BM198"/>
      <c r="BN198"/>
      <c r="BO198"/>
      <c r="BP198"/>
      <c r="BQ198"/>
      <c r="BR198"/>
      <c r="BS198"/>
      <c r="BT198"/>
      <c r="BU198"/>
      <c r="BV198"/>
      <c r="BW198"/>
      <c r="BX198" s="15"/>
    </row>
    <row r="199" spans="1:76">
      <c r="A199"/>
      <c r="B199" s="542">
        <v>139</v>
      </c>
      <c r="C199" s="734"/>
      <c r="D199" s="673"/>
      <c r="E199"/>
      <c r="F199"/>
      <c r="G199"/>
      <c r="H199"/>
      <c r="I199"/>
      <c r="J199"/>
      <c r="K199"/>
      <c r="L199"/>
      <c r="M199"/>
      <c r="N199"/>
      <c r="O199"/>
      <c r="P199"/>
      <c r="Q199"/>
      <c r="R199"/>
      <c r="S199" s="15"/>
      <c r="T199"/>
      <c r="U199" s="542">
        <v>139</v>
      </c>
      <c r="V199" s="734"/>
      <c r="W199" s="673"/>
      <c r="X199"/>
      <c r="Y199"/>
      <c r="Z199"/>
      <c r="AA199"/>
      <c r="AB199"/>
      <c r="AC199"/>
      <c r="AD199"/>
      <c r="AE199"/>
      <c r="AF199"/>
      <c r="AG199"/>
      <c r="AH199"/>
      <c r="AI199"/>
      <c r="AJ199"/>
      <c r="AK199"/>
      <c r="AL199" s="15"/>
      <c r="AM199"/>
      <c r="AN199" s="542">
        <v>139</v>
      </c>
      <c r="AO199" s="734"/>
      <c r="AP199" s="673"/>
      <c r="AQ199"/>
      <c r="AR199"/>
      <c r="AS199"/>
      <c r="AT199"/>
      <c r="AU199"/>
      <c r="AV199"/>
      <c r="AW199"/>
      <c r="AX199"/>
      <c r="AY199"/>
      <c r="AZ199"/>
      <c r="BA199"/>
      <c r="BB199"/>
      <c r="BC199"/>
      <c r="BD199"/>
      <c r="BE199" s="15"/>
      <c r="BF199"/>
      <c r="BG199" s="542">
        <v>139</v>
      </c>
      <c r="BH199" s="734"/>
      <c r="BI199" s="673"/>
      <c r="BJ199"/>
      <c r="BK199"/>
      <c r="BL199"/>
      <c r="BM199"/>
      <c r="BN199"/>
      <c r="BO199"/>
      <c r="BP199"/>
      <c r="BQ199"/>
      <c r="BR199"/>
      <c r="BS199"/>
      <c r="BT199"/>
      <c r="BU199"/>
      <c r="BV199"/>
      <c r="BW199"/>
      <c r="BX199" s="15"/>
    </row>
    <row r="200" spans="1:76">
      <c r="A200"/>
      <c r="B200" s="542">
        <v>140</v>
      </c>
      <c r="C200" s="734"/>
      <c r="D200" s="673"/>
      <c r="E200"/>
      <c r="F200"/>
      <c r="G200"/>
      <c r="H200"/>
      <c r="I200"/>
      <c r="J200"/>
      <c r="K200"/>
      <c r="L200"/>
      <c r="M200"/>
      <c r="N200"/>
      <c r="O200"/>
      <c r="P200"/>
      <c r="Q200"/>
      <c r="R200"/>
      <c r="S200" s="15"/>
      <c r="T200"/>
      <c r="U200" s="542">
        <v>140</v>
      </c>
      <c r="V200" s="734"/>
      <c r="W200" s="673"/>
      <c r="X200"/>
      <c r="Y200"/>
      <c r="Z200"/>
      <c r="AA200"/>
      <c r="AB200"/>
      <c r="AC200"/>
      <c r="AD200"/>
      <c r="AE200"/>
      <c r="AF200"/>
      <c r="AG200"/>
      <c r="AH200"/>
      <c r="AI200"/>
      <c r="AJ200"/>
      <c r="AK200"/>
      <c r="AL200" s="15"/>
      <c r="AM200"/>
      <c r="AN200" s="542">
        <v>140</v>
      </c>
      <c r="AO200" s="734"/>
      <c r="AP200" s="673"/>
      <c r="AQ200"/>
      <c r="AR200"/>
      <c r="AS200"/>
      <c r="AT200"/>
      <c r="AU200"/>
      <c r="AV200"/>
      <c r="AW200"/>
      <c r="AX200"/>
      <c r="AY200"/>
      <c r="AZ200"/>
      <c r="BA200"/>
      <c r="BB200"/>
      <c r="BC200"/>
      <c r="BD200"/>
      <c r="BE200" s="15"/>
      <c r="BF200"/>
      <c r="BG200" s="542">
        <v>140</v>
      </c>
      <c r="BH200" s="734"/>
      <c r="BI200" s="673"/>
      <c r="BJ200"/>
      <c r="BK200"/>
      <c r="BL200"/>
      <c r="BM200"/>
      <c r="BN200"/>
      <c r="BO200"/>
      <c r="BP200"/>
      <c r="BQ200"/>
      <c r="BR200"/>
      <c r="BS200"/>
      <c r="BT200"/>
      <c r="BU200"/>
      <c r="BV200"/>
      <c r="BW200"/>
      <c r="BX200" s="15"/>
    </row>
    <row r="201" spans="1:76">
      <c r="A201"/>
      <c r="B201" s="542">
        <v>141</v>
      </c>
      <c r="C201" s="734"/>
      <c r="D201" s="673"/>
      <c r="E201"/>
      <c r="F201"/>
      <c r="G201"/>
      <c r="H201"/>
      <c r="I201"/>
      <c r="J201"/>
      <c r="K201"/>
      <c r="L201"/>
      <c r="M201"/>
      <c r="N201"/>
      <c r="O201"/>
      <c r="P201"/>
      <c r="Q201"/>
      <c r="R201"/>
      <c r="S201" s="15"/>
      <c r="T201"/>
      <c r="U201" s="542">
        <v>141</v>
      </c>
      <c r="V201" s="734"/>
      <c r="W201" s="673"/>
      <c r="X201"/>
      <c r="Y201"/>
      <c r="Z201"/>
      <c r="AA201"/>
      <c r="AB201"/>
      <c r="AC201"/>
      <c r="AD201"/>
      <c r="AE201"/>
      <c r="AF201"/>
      <c r="AG201"/>
      <c r="AH201"/>
      <c r="AI201"/>
      <c r="AJ201"/>
      <c r="AK201"/>
      <c r="AL201" s="15"/>
      <c r="AM201"/>
      <c r="AN201" s="542">
        <v>141</v>
      </c>
      <c r="AO201" s="734"/>
      <c r="AP201" s="673"/>
      <c r="AQ201"/>
      <c r="AR201"/>
      <c r="AS201"/>
      <c r="AT201"/>
      <c r="AU201"/>
      <c r="AV201"/>
      <c r="AW201"/>
      <c r="AX201"/>
      <c r="AY201"/>
      <c r="AZ201"/>
      <c r="BA201"/>
      <c r="BB201"/>
      <c r="BC201"/>
      <c r="BD201"/>
      <c r="BE201" s="15"/>
      <c r="BF201"/>
      <c r="BG201" s="542">
        <v>141</v>
      </c>
      <c r="BH201" s="734"/>
      <c r="BI201" s="673"/>
      <c r="BJ201"/>
      <c r="BK201"/>
      <c r="BL201"/>
      <c r="BM201"/>
      <c r="BN201"/>
      <c r="BO201"/>
      <c r="BP201"/>
      <c r="BQ201"/>
      <c r="BR201"/>
      <c r="BS201"/>
      <c r="BT201"/>
      <c r="BU201"/>
      <c r="BV201"/>
      <c r="BW201"/>
      <c r="BX201" s="15"/>
    </row>
    <row r="202" spans="1:76">
      <c r="A202"/>
      <c r="B202" s="542">
        <v>142</v>
      </c>
      <c r="C202" s="734"/>
      <c r="D202" s="673"/>
      <c r="E202"/>
      <c r="F202"/>
      <c r="G202"/>
      <c r="H202"/>
      <c r="I202"/>
      <c r="J202"/>
      <c r="K202"/>
      <c r="L202"/>
      <c r="M202"/>
      <c r="N202"/>
      <c r="O202"/>
      <c r="P202"/>
      <c r="Q202"/>
      <c r="R202"/>
      <c r="S202" s="15"/>
      <c r="T202"/>
      <c r="U202" s="542">
        <v>142</v>
      </c>
      <c r="V202" s="734"/>
      <c r="W202" s="673"/>
      <c r="X202"/>
      <c r="Y202"/>
      <c r="Z202"/>
      <c r="AA202"/>
      <c r="AB202"/>
      <c r="AC202"/>
      <c r="AD202"/>
      <c r="AE202"/>
      <c r="AF202"/>
      <c r="AG202"/>
      <c r="AH202"/>
      <c r="AI202"/>
      <c r="AJ202"/>
      <c r="AK202"/>
      <c r="AL202" s="15"/>
      <c r="AM202"/>
      <c r="AN202" s="542">
        <v>142</v>
      </c>
      <c r="AO202" s="734"/>
      <c r="AP202" s="673"/>
      <c r="AQ202"/>
      <c r="AR202"/>
      <c r="AS202"/>
      <c r="AT202"/>
      <c r="AU202"/>
      <c r="AV202"/>
      <c r="AW202"/>
      <c r="AX202"/>
      <c r="AY202"/>
      <c r="AZ202"/>
      <c r="BA202"/>
      <c r="BB202"/>
      <c r="BC202"/>
      <c r="BD202"/>
      <c r="BE202" s="15"/>
      <c r="BF202"/>
      <c r="BG202" s="542">
        <v>142</v>
      </c>
      <c r="BH202" s="734"/>
      <c r="BI202" s="673"/>
      <c r="BJ202"/>
      <c r="BK202"/>
      <c r="BL202"/>
      <c r="BM202"/>
      <c r="BN202"/>
      <c r="BO202"/>
      <c r="BP202"/>
      <c r="BQ202"/>
      <c r="BR202"/>
      <c r="BS202"/>
      <c r="BT202"/>
      <c r="BU202"/>
      <c r="BV202"/>
      <c r="BW202"/>
      <c r="BX202" s="15"/>
    </row>
    <row r="203" spans="1:76">
      <c r="A203"/>
      <c r="B203" s="542">
        <v>143</v>
      </c>
      <c r="C203" s="734"/>
      <c r="D203" s="673"/>
      <c r="E203"/>
      <c r="F203"/>
      <c r="G203"/>
      <c r="H203"/>
      <c r="I203"/>
      <c r="J203"/>
      <c r="K203"/>
      <c r="L203"/>
      <c r="M203"/>
      <c r="N203"/>
      <c r="O203"/>
      <c r="P203"/>
      <c r="Q203"/>
      <c r="R203"/>
      <c r="S203" s="15"/>
      <c r="T203"/>
      <c r="U203" s="542">
        <v>143</v>
      </c>
      <c r="V203" s="734"/>
      <c r="W203" s="673"/>
      <c r="X203"/>
      <c r="Y203"/>
      <c r="Z203"/>
      <c r="AA203"/>
      <c r="AB203"/>
      <c r="AC203"/>
      <c r="AD203"/>
      <c r="AE203"/>
      <c r="AF203"/>
      <c r="AG203"/>
      <c r="AH203"/>
      <c r="AI203"/>
      <c r="AJ203"/>
      <c r="AK203"/>
      <c r="AL203" s="15"/>
      <c r="AM203"/>
      <c r="AN203" s="542">
        <v>143</v>
      </c>
      <c r="AO203" s="734"/>
      <c r="AP203" s="673"/>
      <c r="AQ203"/>
      <c r="AR203"/>
      <c r="AS203"/>
      <c r="AT203"/>
      <c r="AU203"/>
      <c r="AV203"/>
      <c r="AW203"/>
      <c r="AX203"/>
      <c r="AY203"/>
      <c r="AZ203"/>
      <c r="BA203"/>
      <c r="BB203"/>
      <c r="BC203"/>
      <c r="BD203"/>
      <c r="BE203" s="15"/>
      <c r="BF203"/>
      <c r="BG203" s="542">
        <v>143</v>
      </c>
      <c r="BH203" s="734"/>
      <c r="BI203" s="673"/>
      <c r="BJ203"/>
      <c r="BK203"/>
      <c r="BL203"/>
      <c r="BM203"/>
      <c r="BN203"/>
      <c r="BO203"/>
      <c r="BP203"/>
      <c r="BQ203"/>
      <c r="BR203"/>
      <c r="BS203"/>
      <c r="BT203"/>
      <c r="BU203"/>
      <c r="BV203"/>
      <c r="BW203"/>
      <c r="BX203" s="15"/>
    </row>
    <row r="204" spans="1:76">
      <c r="A204"/>
      <c r="B204" s="542">
        <v>144</v>
      </c>
      <c r="C204" s="734"/>
      <c r="D204" s="673"/>
      <c r="E204"/>
      <c r="F204"/>
      <c r="G204"/>
      <c r="H204"/>
      <c r="I204"/>
      <c r="J204"/>
      <c r="K204"/>
      <c r="L204"/>
      <c r="M204"/>
      <c r="N204"/>
      <c r="O204"/>
      <c r="P204"/>
      <c r="Q204"/>
      <c r="R204"/>
      <c r="S204" s="15"/>
      <c r="T204"/>
      <c r="U204" s="542">
        <v>144</v>
      </c>
      <c r="V204" s="734"/>
      <c r="W204" s="673"/>
      <c r="X204"/>
      <c r="Y204"/>
      <c r="Z204"/>
      <c r="AA204"/>
      <c r="AB204"/>
      <c r="AC204"/>
      <c r="AD204"/>
      <c r="AE204"/>
      <c r="AF204"/>
      <c r="AG204"/>
      <c r="AH204"/>
      <c r="AI204"/>
      <c r="AJ204"/>
      <c r="AK204"/>
      <c r="AL204" s="15"/>
      <c r="AM204"/>
      <c r="AN204" s="542">
        <v>144</v>
      </c>
      <c r="AO204" s="734"/>
      <c r="AP204" s="673"/>
      <c r="AQ204"/>
      <c r="AR204"/>
      <c r="AS204"/>
      <c r="AT204"/>
      <c r="AU204"/>
      <c r="AV204"/>
      <c r="AW204"/>
      <c r="AX204"/>
      <c r="AY204"/>
      <c r="AZ204"/>
      <c r="BA204"/>
      <c r="BB204"/>
      <c r="BC204"/>
      <c r="BD204"/>
      <c r="BE204" s="15"/>
      <c r="BF204"/>
      <c r="BG204" s="542">
        <v>144</v>
      </c>
      <c r="BH204" s="734"/>
      <c r="BI204" s="673"/>
      <c r="BJ204"/>
      <c r="BK204"/>
      <c r="BL204"/>
      <c r="BM204"/>
      <c r="BN204"/>
      <c r="BO204"/>
      <c r="BP204"/>
      <c r="BQ204"/>
      <c r="BR204"/>
      <c r="BS204"/>
      <c r="BT204"/>
      <c r="BU204"/>
      <c r="BV204"/>
      <c r="BW204"/>
      <c r="BX204" s="15"/>
    </row>
    <row r="205" spans="1:76">
      <c r="A205"/>
      <c r="B205" s="542">
        <v>145</v>
      </c>
      <c r="C205" s="734"/>
      <c r="D205" s="673"/>
      <c r="E205"/>
      <c r="F205"/>
      <c r="G205"/>
      <c r="H205"/>
      <c r="I205"/>
      <c r="J205"/>
      <c r="K205"/>
      <c r="L205"/>
      <c r="M205"/>
      <c r="N205"/>
      <c r="O205"/>
      <c r="P205"/>
      <c r="Q205"/>
      <c r="R205"/>
      <c r="S205" s="15"/>
      <c r="T205"/>
      <c r="U205" s="542">
        <v>145</v>
      </c>
      <c r="V205" s="734"/>
      <c r="W205" s="673"/>
      <c r="X205"/>
      <c r="Y205"/>
      <c r="Z205"/>
      <c r="AA205"/>
      <c r="AB205"/>
      <c r="AC205"/>
      <c r="AD205"/>
      <c r="AE205"/>
      <c r="AF205"/>
      <c r="AG205"/>
      <c r="AH205"/>
      <c r="AI205"/>
      <c r="AJ205"/>
      <c r="AK205"/>
      <c r="AL205" s="15"/>
      <c r="AM205"/>
      <c r="AN205" s="542">
        <v>145</v>
      </c>
      <c r="AO205" s="734"/>
      <c r="AP205" s="673"/>
      <c r="AQ205"/>
      <c r="AR205"/>
      <c r="AS205"/>
      <c r="AT205"/>
      <c r="AU205"/>
      <c r="AV205"/>
      <c r="AW205"/>
      <c r="AX205"/>
      <c r="AY205"/>
      <c r="AZ205"/>
      <c r="BA205"/>
      <c r="BB205"/>
      <c r="BC205"/>
      <c r="BD205"/>
      <c r="BE205" s="15"/>
      <c r="BF205"/>
      <c r="BG205" s="542">
        <v>145</v>
      </c>
      <c r="BH205" s="734"/>
      <c r="BI205" s="673"/>
      <c r="BJ205"/>
      <c r="BK205"/>
      <c r="BL205"/>
      <c r="BM205"/>
      <c r="BN205"/>
      <c r="BO205"/>
      <c r="BP205"/>
      <c r="BQ205"/>
      <c r="BR205"/>
      <c r="BS205"/>
      <c r="BT205"/>
      <c r="BU205"/>
      <c r="BV205"/>
      <c r="BW205"/>
      <c r="BX205" s="15"/>
    </row>
    <row r="206" spans="1:76">
      <c r="A206"/>
      <c r="B206" s="542">
        <v>146</v>
      </c>
      <c r="C206" s="734"/>
      <c r="D206" s="673"/>
      <c r="E206"/>
      <c r="F206"/>
      <c r="G206"/>
      <c r="H206"/>
      <c r="I206"/>
      <c r="J206"/>
      <c r="K206"/>
      <c r="L206"/>
      <c r="M206"/>
      <c r="N206"/>
      <c r="O206"/>
      <c r="P206"/>
      <c r="Q206"/>
      <c r="R206"/>
      <c r="S206" s="15"/>
      <c r="T206"/>
      <c r="U206" s="542">
        <v>146</v>
      </c>
      <c r="V206" s="734"/>
      <c r="W206" s="673"/>
      <c r="X206"/>
      <c r="Y206"/>
      <c r="Z206"/>
      <c r="AA206"/>
      <c r="AB206"/>
      <c r="AC206"/>
      <c r="AD206"/>
      <c r="AE206"/>
      <c r="AF206"/>
      <c r="AG206"/>
      <c r="AH206"/>
      <c r="AI206"/>
      <c r="AJ206"/>
      <c r="AK206"/>
      <c r="AL206" s="15"/>
      <c r="AM206"/>
      <c r="AN206" s="542">
        <v>146</v>
      </c>
      <c r="AO206" s="734"/>
      <c r="AP206" s="673"/>
      <c r="AQ206"/>
      <c r="AR206"/>
      <c r="AS206"/>
      <c r="AT206"/>
      <c r="AU206"/>
      <c r="AV206"/>
      <c r="AW206"/>
      <c r="AX206"/>
      <c r="AY206"/>
      <c r="AZ206"/>
      <c r="BA206"/>
      <c r="BB206"/>
      <c r="BC206"/>
      <c r="BD206"/>
      <c r="BE206" s="15"/>
      <c r="BF206"/>
      <c r="BG206" s="542">
        <v>146</v>
      </c>
      <c r="BH206" s="734"/>
      <c r="BI206" s="673"/>
      <c r="BJ206"/>
      <c r="BK206"/>
      <c r="BL206"/>
      <c r="BM206"/>
      <c r="BN206"/>
      <c r="BO206"/>
      <c r="BP206"/>
      <c r="BQ206"/>
      <c r="BR206"/>
      <c r="BS206"/>
      <c r="BT206"/>
      <c r="BU206"/>
      <c r="BV206"/>
      <c r="BW206"/>
      <c r="BX206" s="15"/>
    </row>
    <row r="207" spans="1:76">
      <c r="A207"/>
      <c r="B207" s="542">
        <v>147</v>
      </c>
      <c r="C207" s="734"/>
      <c r="D207" s="673"/>
      <c r="E207"/>
      <c r="F207"/>
      <c r="G207"/>
      <c r="H207"/>
      <c r="I207"/>
      <c r="J207"/>
      <c r="K207"/>
      <c r="L207"/>
      <c r="M207"/>
      <c r="N207"/>
      <c r="O207"/>
      <c r="P207"/>
      <c r="Q207"/>
      <c r="R207"/>
      <c r="S207" s="15"/>
      <c r="T207"/>
      <c r="U207" s="542">
        <v>147</v>
      </c>
      <c r="V207" s="734"/>
      <c r="W207" s="673"/>
      <c r="X207"/>
      <c r="Y207"/>
      <c r="Z207"/>
      <c r="AA207"/>
      <c r="AB207"/>
      <c r="AC207"/>
      <c r="AD207"/>
      <c r="AE207"/>
      <c r="AF207"/>
      <c r="AG207"/>
      <c r="AH207"/>
      <c r="AI207"/>
      <c r="AJ207"/>
      <c r="AK207"/>
      <c r="AL207" s="15"/>
      <c r="AM207"/>
      <c r="AN207" s="542">
        <v>147</v>
      </c>
      <c r="AO207" s="734"/>
      <c r="AP207" s="673"/>
      <c r="AQ207"/>
      <c r="AR207"/>
      <c r="AS207"/>
      <c r="AT207"/>
      <c r="AU207"/>
      <c r="AV207"/>
      <c r="AW207"/>
      <c r="AX207"/>
      <c r="AY207"/>
      <c r="AZ207"/>
      <c r="BA207"/>
      <c r="BB207"/>
      <c r="BC207"/>
      <c r="BD207"/>
      <c r="BE207" s="15"/>
      <c r="BF207"/>
      <c r="BG207" s="542">
        <v>147</v>
      </c>
      <c r="BH207" s="734"/>
      <c r="BI207" s="673"/>
      <c r="BJ207"/>
      <c r="BK207"/>
      <c r="BL207"/>
      <c r="BM207"/>
      <c r="BN207"/>
      <c r="BO207"/>
      <c r="BP207"/>
      <c r="BQ207"/>
      <c r="BR207"/>
      <c r="BS207"/>
      <c r="BT207"/>
      <c r="BU207"/>
      <c r="BV207"/>
      <c r="BW207"/>
      <c r="BX207" s="15"/>
    </row>
    <row r="208" spans="1:76">
      <c r="A208"/>
      <c r="B208" s="542">
        <v>148</v>
      </c>
      <c r="C208" s="734"/>
      <c r="D208" s="673"/>
      <c r="E208"/>
      <c r="F208"/>
      <c r="G208"/>
      <c r="H208"/>
      <c r="I208"/>
      <c r="J208"/>
      <c r="K208"/>
      <c r="L208"/>
      <c r="M208"/>
      <c r="N208"/>
      <c r="O208"/>
      <c r="P208"/>
      <c r="Q208"/>
      <c r="R208"/>
      <c r="S208" s="15"/>
      <c r="T208"/>
      <c r="U208" s="542">
        <v>148</v>
      </c>
      <c r="V208" s="734"/>
      <c r="W208" s="673"/>
      <c r="X208"/>
      <c r="Y208"/>
      <c r="Z208"/>
      <c r="AA208"/>
      <c r="AB208"/>
      <c r="AC208"/>
      <c r="AD208"/>
      <c r="AE208"/>
      <c r="AF208"/>
      <c r="AG208"/>
      <c r="AH208"/>
      <c r="AI208"/>
      <c r="AJ208"/>
      <c r="AK208"/>
      <c r="AL208" s="15"/>
      <c r="AM208"/>
      <c r="AN208" s="542">
        <v>148</v>
      </c>
      <c r="AO208" s="734"/>
      <c r="AP208" s="673"/>
      <c r="AQ208"/>
      <c r="AR208"/>
      <c r="AS208"/>
      <c r="AT208"/>
      <c r="AU208"/>
      <c r="AV208"/>
      <c r="AW208"/>
      <c r="AX208"/>
      <c r="AY208"/>
      <c r="AZ208"/>
      <c r="BA208"/>
      <c r="BB208"/>
      <c r="BC208"/>
      <c r="BD208"/>
      <c r="BE208" s="15"/>
      <c r="BF208"/>
      <c r="BG208" s="542">
        <v>148</v>
      </c>
      <c r="BH208" s="734"/>
      <c r="BI208" s="673"/>
      <c r="BJ208"/>
      <c r="BK208"/>
      <c r="BL208"/>
      <c r="BM208"/>
      <c r="BN208"/>
      <c r="BO208"/>
      <c r="BP208"/>
      <c r="BQ208"/>
      <c r="BR208"/>
      <c r="BS208"/>
      <c r="BT208"/>
      <c r="BU208"/>
      <c r="BV208"/>
      <c r="BW208"/>
      <c r="BX208" s="15"/>
    </row>
    <row r="209" spans="1:76">
      <c r="A209"/>
      <c r="B209" s="542">
        <v>149</v>
      </c>
      <c r="C209" s="734"/>
      <c r="D209" s="673"/>
      <c r="E209"/>
      <c r="F209"/>
      <c r="G209"/>
      <c r="H209"/>
      <c r="I209"/>
      <c r="J209"/>
      <c r="K209"/>
      <c r="L209"/>
      <c r="M209"/>
      <c r="N209"/>
      <c r="O209"/>
      <c r="P209"/>
      <c r="Q209"/>
      <c r="R209"/>
      <c r="S209" s="15"/>
      <c r="T209"/>
      <c r="U209" s="542">
        <v>149</v>
      </c>
      <c r="V209" s="734"/>
      <c r="W209" s="673"/>
      <c r="X209"/>
      <c r="Y209"/>
      <c r="Z209"/>
      <c r="AA209"/>
      <c r="AB209"/>
      <c r="AC209"/>
      <c r="AD209"/>
      <c r="AE209"/>
      <c r="AF209"/>
      <c r="AG209"/>
      <c r="AH209"/>
      <c r="AI209"/>
      <c r="AJ209"/>
      <c r="AK209"/>
      <c r="AL209" s="15"/>
      <c r="AM209"/>
      <c r="AN209" s="542">
        <v>149</v>
      </c>
      <c r="AO209" s="734"/>
      <c r="AP209" s="673"/>
      <c r="AQ209"/>
      <c r="AR209"/>
      <c r="AS209"/>
      <c r="AT209"/>
      <c r="AU209"/>
      <c r="AV209"/>
      <c r="AW209"/>
      <c r="AX209"/>
      <c r="AY209"/>
      <c r="AZ209"/>
      <c r="BA209"/>
      <c r="BB209"/>
      <c r="BC209"/>
      <c r="BD209"/>
      <c r="BE209" s="15"/>
      <c r="BF209"/>
      <c r="BG209" s="542">
        <v>149</v>
      </c>
      <c r="BH209" s="734"/>
      <c r="BI209" s="673"/>
      <c r="BJ209"/>
      <c r="BK209"/>
      <c r="BL209"/>
      <c r="BM209"/>
      <c r="BN209"/>
      <c r="BO209"/>
      <c r="BP209"/>
      <c r="BQ209"/>
      <c r="BR209"/>
      <c r="BS209"/>
      <c r="BT209"/>
      <c r="BU209"/>
      <c r="BV209"/>
      <c r="BW209"/>
      <c r="BX209" s="15"/>
    </row>
    <row r="210" spans="1:76">
      <c r="A210"/>
      <c r="B210" s="542">
        <v>150</v>
      </c>
      <c r="C210" s="734"/>
      <c r="D210" s="673"/>
      <c r="E210"/>
      <c r="F210"/>
      <c r="G210"/>
      <c r="H210"/>
      <c r="I210"/>
      <c r="J210"/>
      <c r="K210"/>
      <c r="L210"/>
      <c r="M210"/>
      <c r="N210"/>
      <c r="O210"/>
      <c r="P210"/>
      <c r="Q210"/>
      <c r="R210"/>
      <c r="S210" s="15"/>
      <c r="T210"/>
      <c r="U210" s="542">
        <v>150</v>
      </c>
      <c r="V210" s="734"/>
      <c r="W210" s="673"/>
      <c r="X210"/>
      <c r="Y210"/>
      <c r="Z210"/>
      <c r="AA210"/>
      <c r="AB210"/>
      <c r="AC210"/>
      <c r="AD210"/>
      <c r="AE210"/>
      <c r="AF210"/>
      <c r="AG210"/>
      <c r="AH210"/>
      <c r="AI210"/>
      <c r="AJ210"/>
      <c r="AK210"/>
      <c r="AL210" s="15"/>
      <c r="AM210"/>
      <c r="AN210" s="542">
        <v>150</v>
      </c>
      <c r="AO210" s="734"/>
      <c r="AP210" s="673"/>
      <c r="AQ210"/>
      <c r="AR210"/>
      <c r="AS210"/>
      <c r="AT210"/>
      <c r="AU210"/>
      <c r="AV210"/>
      <c r="AW210"/>
      <c r="AX210"/>
      <c r="AY210"/>
      <c r="AZ210"/>
      <c r="BA210"/>
      <c r="BB210"/>
      <c r="BC210"/>
      <c r="BD210"/>
      <c r="BE210" s="15"/>
      <c r="BF210"/>
      <c r="BG210" s="542">
        <v>150</v>
      </c>
      <c r="BH210" s="734"/>
      <c r="BI210" s="673"/>
      <c r="BJ210"/>
      <c r="BK210"/>
      <c r="BL210"/>
      <c r="BM210"/>
      <c r="BN210"/>
      <c r="BO210"/>
      <c r="BP210"/>
      <c r="BQ210"/>
      <c r="BR210"/>
      <c r="BS210"/>
      <c r="BT210"/>
      <c r="BU210"/>
      <c r="BV210"/>
      <c r="BW210"/>
      <c r="BX210" s="15"/>
    </row>
    <row r="211" spans="1:76">
      <c r="A211"/>
      <c r="B211" s="542">
        <v>151</v>
      </c>
      <c r="C211" s="734"/>
      <c r="D211" s="673"/>
      <c r="E211"/>
      <c r="F211"/>
      <c r="G211"/>
      <c r="H211"/>
      <c r="I211"/>
      <c r="J211"/>
      <c r="K211"/>
      <c r="L211"/>
      <c r="M211"/>
      <c r="N211"/>
      <c r="O211"/>
      <c r="P211"/>
      <c r="Q211"/>
      <c r="R211"/>
      <c r="S211" s="15"/>
      <c r="T211"/>
      <c r="U211" s="542">
        <v>151</v>
      </c>
      <c r="V211" s="734"/>
      <c r="W211" s="673"/>
      <c r="X211"/>
      <c r="Y211"/>
      <c r="Z211"/>
      <c r="AA211"/>
      <c r="AB211"/>
      <c r="AC211"/>
      <c r="AD211"/>
      <c r="AE211"/>
      <c r="AF211"/>
      <c r="AG211"/>
      <c r="AH211"/>
      <c r="AI211"/>
      <c r="AJ211"/>
      <c r="AK211"/>
      <c r="AL211" s="15"/>
      <c r="AM211"/>
      <c r="AN211" s="542">
        <v>151</v>
      </c>
      <c r="AO211" s="734"/>
      <c r="AP211" s="673"/>
      <c r="AQ211"/>
      <c r="AR211"/>
      <c r="AS211"/>
      <c r="AT211"/>
      <c r="AU211"/>
      <c r="AV211"/>
      <c r="AW211"/>
      <c r="AX211"/>
      <c r="AY211"/>
      <c r="AZ211"/>
      <c r="BA211"/>
      <c r="BB211"/>
      <c r="BC211"/>
      <c r="BD211"/>
      <c r="BE211" s="15"/>
      <c r="BF211"/>
      <c r="BG211" s="542">
        <v>151</v>
      </c>
      <c r="BH211" s="734"/>
      <c r="BI211" s="673"/>
      <c r="BJ211"/>
      <c r="BK211"/>
      <c r="BL211"/>
      <c r="BM211"/>
      <c r="BN211"/>
      <c r="BO211"/>
      <c r="BP211"/>
      <c r="BQ211"/>
      <c r="BR211"/>
      <c r="BS211"/>
      <c r="BT211"/>
      <c r="BU211"/>
      <c r="BV211"/>
      <c r="BW211"/>
      <c r="BX211" s="15"/>
    </row>
    <row r="212" spans="1:76">
      <c r="A212"/>
      <c r="B212" s="542">
        <v>152</v>
      </c>
      <c r="C212" s="734"/>
      <c r="D212" s="673"/>
      <c r="E212"/>
      <c r="F212"/>
      <c r="G212"/>
      <c r="H212"/>
      <c r="I212"/>
      <c r="J212"/>
      <c r="K212"/>
      <c r="L212"/>
      <c r="M212"/>
      <c r="N212"/>
      <c r="O212"/>
      <c r="P212"/>
      <c r="Q212"/>
      <c r="R212"/>
      <c r="S212" s="15"/>
      <c r="T212"/>
      <c r="U212" s="542">
        <v>152</v>
      </c>
      <c r="V212" s="734"/>
      <c r="W212" s="673"/>
      <c r="X212"/>
      <c r="Y212"/>
      <c r="Z212"/>
      <c r="AA212"/>
      <c r="AB212"/>
      <c r="AC212"/>
      <c r="AD212"/>
      <c r="AE212"/>
      <c r="AF212"/>
      <c r="AG212"/>
      <c r="AH212"/>
      <c r="AI212"/>
      <c r="AJ212"/>
      <c r="AK212"/>
      <c r="AL212" s="15"/>
      <c r="AM212"/>
      <c r="AN212" s="542">
        <v>152</v>
      </c>
      <c r="AO212" s="734"/>
      <c r="AP212" s="673"/>
      <c r="AQ212"/>
      <c r="AR212"/>
      <c r="AS212"/>
      <c r="AT212"/>
      <c r="AU212"/>
      <c r="AV212"/>
      <c r="AW212"/>
      <c r="AX212"/>
      <c r="AY212"/>
      <c r="AZ212"/>
      <c r="BA212"/>
      <c r="BB212"/>
      <c r="BC212"/>
      <c r="BD212"/>
      <c r="BE212" s="15"/>
      <c r="BF212"/>
      <c r="BG212" s="542">
        <v>152</v>
      </c>
      <c r="BH212" s="734"/>
      <c r="BI212" s="673"/>
      <c r="BJ212"/>
      <c r="BK212"/>
      <c r="BL212"/>
      <c r="BM212"/>
      <c r="BN212"/>
      <c r="BO212"/>
      <c r="BP212"/>
      <c r="BQ212"/>
      <c r="BR212"/>
      <c r="BS212"/>
      <c r="BT212"/>
      <c r="BU212"/>
      <c r="BV212"/>
      <c r="BW212"/>
      <c r="BX212" s="15"/>
    </row>
    <row r="213" spans="1:76">
      <c r="A213"/>
      <c r="B213" s="542">
        <v>153</v>
      </c>
      <c r="C213" s="734"/>
      <c r="D213" s="673"/>
      <c r="E213"/>
      <c r="F213"/>
      <c r="G213"/>
      <c r="H213"/>
      <c r="I213"/>
      <c r="J213"/>
      <c r="K213"/>
      <c r="L213"/>
      <c r="M213"/>
      <c r="N213"/>
      <c r="O213"/>
      <c r="P213"/>
      <c r="Q213"/>
      <c r="R213"/>
      <c r="S213" s="15"/>
      <c r="T213"/>
      <c r="U213" s="542">
        <v>153</v>
      </c>
      <c r="V213" s="734"/>
      <c r="W213" s="673"/>
      <c r="X213"/>
      <c r="Y213"/>
      <c r="Z213"/>
      <c r="AA213"/>
      <c r="AB213"/>
      <c r="AC213"/>
      <c r="AD213"/>
      <c r="AE213"/>
      <c r="AF213"/>
      <c r="AG213"/>
      <c r="AH213"/>
      <c r="AI213"/>
      <c r="AJ213"/>
      <c r="AK213"/>
      <c r="AL213" s="15"/>
      <c r="AM213"/>
      <c r="AN213" s="542">
        <v>153</v>
      </c>
      <c r="AO213" s="734"/>
      <c r="AP213" s="673"/>
      <c r="AQ213"/>
      <c r="AR213"/>
      <c r="AS213"/>
      <c r="AT213"/>
      <c r="AU213"/>
      <c r="AV213"/>
      <c r="AW213"/>
      <c r="AX213"/>
      <c r="AY213"/>
      <c r="AZ213"/>
      <c r="BA213"/>
      <c r="BB213"/>
      <c r="BC213"/>
      <c r="BD213"/>
      <c r="BE213" s="15"/>
      <c r="BF213"/>
      <c r="BG213" s="542">
        <v>153</v>
      </c>
      <c r="BH213" s="734"/>
      <c r="BI213" s="673"/>
      <c r="BJ213"/>
      <c r="BK213"/>
      <c r="BL213"/>
      <c r="BM213"/>
      <c r="BN213"/>
      <c r="BO213"/>
      <c r="BP213"/>
      <c r="BQ213"/>
      <c r="BR213"/>
      <c r="BS213"/>
      <c r="BT213"/>
      <c r="BU213"/>
      <c r="BV213"/>
      <c r="BW213"/>
      <c r="BX213" s="15"/>
    </row>
    <row r="214" spans="1:76">
      <c r="A214"/>
      <c r="B214" s="542">
        <v>154</v>
      </c>
      <c r="C214" s="734"/>
      <c r="D214" s="673"/>
      <c r="E214"/>
      <c r="F214"/>
      <c r="G214"/>
      <c r="H214"/>
      <c r="I214"/>
      <c r="J214"/>
      <c r="K214"/>
      <c r="L214"/>
      <c r="M214"/>
      <c r="N214"/>
      <c r="O214"/>
      <c r="P214"/>
      <c r="Q214"/>
      <c r="R214"/>
      <c r="S214" s="15"/>
      <c r="T214"/>
      <c r="U214" s="542">
        <v>154</v>
      </c>
      <c r="V214" s="734"/>
      <c r="W214" s="673"/>
      <c r="X214"/>
      <c r="Y214"/>
      <c r="Z214"/>
      <c r="AA214"/>
      <c r="AB214"/>
      <c r="AC214"/>
      <c r="AD214"/>
      <c r="AE214"/>
      <c r="AF214"/>
      <c r="AG214"/>
      <c r="AH214"/>
      <c r="AI214"/>
      <c r="AJ214"/>
      <c r="AK214"/>
      <c r="AL214" s="15"/>
      <c r="AM214"/>
      <c r="AN214" s="542">
        <v>154</v>
      </c>
      <c r="AO214" s="734"/>
      <c r="AP214" s="673"/>
      <c r="AQ214"/>
      <c r="AR214"/>
      <c r="AS214"/>
      <c r="AT214"/>
      <c r="AU214"/>
      <c r="AV214"/>
      <c r="AW214"/>
      <c r="AX214"/>
      <c r="AY214"/>
      <c r="AZ214"/>
      <c r="BA214"/>
      <c r="BB214"/>
      <c r="BC214"/>
      <c r="BD214"/>
      <c r="BE214" s="15"/>
      <c r="BF214"/>
      <c r="BG214" s="542">
        <v>154</v>
      </c>
      <c r="BH214" s="734"/>
      <c r="BI214" s="673"/>
      <c r="BJ214"/>
      <c r="BK214"/>
      <c r="BL214"/>
      <c r="BM214"/>
      <c r="BN214"/>
      <c r="BO214"/>
      <c r="BP214"/>
      <c r="BQ214"/>
      <c r="BR214"/>
      <c r="BS214"/>
      <c r="BT214"/>
      <c r="BU214"/>
      <c r="BV214"/>
      <c r="BW214"/>
      <c r="BX214" s="15"/>
    </row>
    <row r="215" spans="1:76">
      <c r="A215"/>
      <c r="B215" s="542">
        <v>155</v>
      </c>
      <c r="C215" s="734"/>
      <c r="D215" s="673"/>
      <c r="E215"/>
      <c r="F215"/>
      <c r="G215"/>
      <c r="H215"/>
      <c r="I215"/>
      <c r="J215"/>
      <c r="K215"/>
      <c r="L215"/>
      <c r="M215"/>
      <c r="N215"/>
      <c r="O215"/>
      <c r="P215"/>
      <c r="Q215"/>
      <c r="R215"/>
      <c r="S215" s="15"/>
      <c r="T215"/>
      <c r="U215" s="542">
        <v>155</v>
      </c>
      <c r="V215" s="734"/>
      <c r="W215" s="673"/>
      <c r="X215"/>
      <c r="Y215"/>
      <c r="Z215"/>
      <c r="AA215"/>
      <c r="AB215"/>
      <c r="AC215"/>
      <c r="AD215"/>
      <c r="AE215"/>
      <c r="AF215"/>
      <c r="AG215"/>
      <c r="AH215"/>
      <c r="AI215"/>
      <c r="AJ215"/>
      <c r="AK215"/>
      <c r="AL215" s="15"/>
      <c r="AM215"/>
      <c r="AN215" s="542">
        <v>155</v>
      </c>
      <c r="AO215" s="734"/>
      <c r="AP215" s="673"/>
      <c r="AQ215"/>
      <c r="AR215"/>
      <c r="AS215"/>
      <c r="AT215"/>
      <c r="AU215"/>
      <c r="AV215"/>
      <c r="AW215"/>
      <c r="AX215"/>
      <c r="AY215"/>
      <c r="AZ215"/>
      <c r="BA215"/>
      <c r="BB215"/>
      <c r="BC215"/>
      <c r="BD215"/>
      <c r="BE215" s="15"/>
      <c r="BF215"/>
      <c r="BG215" s="542">
        <v>155</v>
      </c>
      <c r="BH215" s="734"/>
      <c r="BI215" s="673"/>
      <c r="BJ215"/>
      <c r="BK215"/>
      <c r="BL215"/>
      <c r="BM215"/>
      <c r="BN215"/>
      <c r="BO215"/>
      <c r="BP215"/>
      <c r="BQ215"/>
      <c r="BR215"/>
      <c r="BS215"/>
      <c r="BT215"/>
      <c r="BU215"/>
      <c r="BV215"/>
      <c r="BW215"/>
      <c r="BX215" s="15"/>
    </row>
    <row r="216" spans="1:76">
      <c r="A216"/>
      <c r="B216" s="542">
        <v>156</v>
      </c>
      <c r="C216" s="734"/>
      <c r="D216" s="673"/>
      <c r="E216"/>
      <c r="F216"/>
      <c r="G216"/>
      <c r="H216"/>
      <c r="I216"/>
      <c r="J216"/>
      <c r="K216"/>
      <c r="L216"/>
      <c r="M216"/>
      <c r="N216"/>
      <c r="O216"/>
      <c r="P216"/>
      <c r="Q216"/>
      <c r="R216"/>
      <c r="S216" s="15"/>
      <c r="T216"/>
      <c r="U216" s="542">
        <v>156</v>
      </c>
      <c r="V216" s="734"/>
      <c r="W216" s="673"/>
      <c r="X216"/>
      <c r="Y216"/>
      <c r="Z216"/>
      <c r="AA216"/>
      <c r="AB216"/>
      <c r="AC216"/>
      <c r="AD216"/>
      <c r="AE216"/>
      <c r="AF216"/>
      <c r="AG216"/>
      <c r="AH216"/>
      <c r="AI216"/>
      <c r="AJ216"/>
      <c r="AK216"/>
      <c r="AL216" s="15"/>
      <c r="AM216"/>
      <c r="AN216" s="542">
        <v>156</v>
      </c>
      <c r="AO216" s="734"/>
      <c r="AP216" s="673"/>
      <c r="AQ216"/>
      <c r="AR216"/>
      <c r="AS216"/>
      <c r="AT216"/>
      <c r="AU216"/>
      <c r="AV216"/>
      <c r="AW216"/>
      <c r="AX216"/>
      <c r="AY216"/>
      <c r="AZ216"/>
      <c r="BA216"/>
      <c r="BB216"/>
      <c r="BC216"/>
      <c r="BD216"/>
      <c r="BE216" s="15"/>
      <c r="BF216"/>
      <c r="BG216" s="542">
        <v>156</v>
      </c>
      <c r="BH216" s="734"/>
      <c r="BI216" s="673"/>
      <c r="BJ216"/>
      <c r="BK216"/>
      <c r="BL216"/>
      <c r="BM216"/>
      <c r="BN216"/>
      <c r="BO216"/>
      <c r="BP216"/>
      <c r="BQ216"/>
      <c r="BR216"/>
      <c r="BS216"/>
      <c r="BT216"/>
      <c r="BU216"/>
      <c r="BV216"/>
      <c r="BW216"/>
      <c r="BX216" s="15"/>
    </row>
    <row r="217" spans="1:76">
      <c r="A217"/>
      <c r="B217" s="542">
        <v>157</v>
      </c>
      <c r="C217" s="734"/>
      <c r="D217" s="673"/>
      <c r="E217"/>
      <c r="F217"/>
      <c r="G217"/>
      <c r="H217"/>
      <c r="I217"/>
      <c r="J217"/>
      <c r="K217"/>
      <c r="L217"/>
      <c r="M217"/>
      <c r="N217"/>
      <c r="O217"/>
      <c r="P217"/>
      <c r="Q217"/>
      <c r="R217"/>
      <c r="S217" s="15"/>
      <c r="T217"/>
      <c r="U217" s="542">
        <v>157</v>
      </c>
      <c r="V217" s="734"/>
      <c r="W217" s="673"/>
      <c r="X217"/>
      <c r="Y217"/>
      <c r="Z217"/>
      <c r="AA217"/>
      <c r="AB217"/>
      <c r="AC217"/>
      <c r="AD217"/>
      <c r="AE217"/>
      <c r="AF217"/>
      <c r="AG217"/>
      <c r="AH217"/>
      <c r="AI217"/>
      <c r="AJ217"/>
      <c r="AK217"/>
      <c r="AL217" s="15"/>
      <c r="AM217"/>
      <c r="AN217" s="542">
        <v>157</v>
      </c>
      <c r="AO217" s="734"/>
      <c r="AP217" s="673"/>
      <c r="AQ217"/>
      <c r="AR217"/>
      <c r="AS217"/>
      <c r="AT217"/>
      <c r="AU217"/>
      <c r="AV217"/>
      <c r="AW217"/>
      <c r="AX217"/>
      <c r="AY217"/>
      <c r="AZ217"/>
      <c r="BA217"/>
      <c r="BB217"/>
      <c r="BC217"/>
      <c r="BD217"/>
      <c r="BE217" s="15"/>
      <c r="BF217"/>
      <c r="BG217" s="542">
        <v>157</v>
      </c>
      <c r="BH217" s="734"/>
      <c r="BI217" s="673"/>
      <c r="BJ217"/>
      <c r="BK217"/>
      <c r="BL217"/>
      <c r="BM217"/>
      <c r="BN217"/>
      <c r="BO217"/>
      <c r="BP217"/>
      <c r="BQ217"/>
      <c r="BR217"/>
      <c r="BS217"/>
      <c r="BT217"/>
      <c r="BU217"/>
      <c r="BV217"/>
      <c r="BW217"/>
      <c r="BX217" s="15"/>
    </row>
    <row r="218" spans="1:76">
      <c r="A218"/>
      <c r="B218" s="542">
        <v>158</v>
      </c>
      <c r="C218" s="734"/>
      <c r="D218" s="673"/>
      <c r="E218"/>
      <c r="F218"/>
      <c r="G218"/>
      <c r="H218"/>
      <c r="I218"/>
      <c r="J218"/>
      <c r="K218"/>
      <c r="L218"/>
      <c r="M218"/>
      <c r="N218"/>
      <c r="O218"/>
      <c r="P218"/>
      <c r="Q218"/>
      <c r="R218"/>
      <c r="S218" s="15"/>
      <c r="T218"/>
      <c r="U218" s="542">
        <v>158</v>
      </c>
      <c r="V218" s="734"/>
      <c r="W218" s="673"/>
      <c r="X218"/>
      <c r="Y218"/>
      <c r="Z218"/>
      <c r="AA218"/>
      <c r="AB218"/>
      <c r="AC218"/>
      <c r="AD218"/>
      <c r="AE218"/>
      <c r="AF218"/>
      <c r="AG218"/>
      <c r="AH218"/>
      <c r="AI218"/>
      <c r="AJ218"/>
      <c r="AK218"/>
      <c r="AL218" s="15"/>
      <c r="AM218"/>
      <c r="AN218" s="542">
        <v>158</v>
      </c>
      <c r="AO218" s="734"/>
      <c r="AP218" s="673"/>
      <c r="AQ218"/>
      <c r="AR218"/>
      <c r="AS218"/>
      <c r="AT218"/>
      <c r="AU218"/>
      <c r="AV218"/>
      <c r="AW218"/>
      <c r="AX218"/>
      <c r="AY218"/>
      <c r="AZ218"/>
      <c r="BA218"/>
      <c r="BB218"/>
      <c r="BC218"/>
      <c r="BD218"/>
      <c r="BE218" s="15"/>
      <c r="BF218"/>
      <c r="BG218" s="542">
        <v>158</v>
      </c>
      <c r="BH218" s="734"/>
      <c r="BI218" s="673"/>
      <c r="BJ218"/>
      <c r="BK218"/>
      <c r="BL218"/>
      <c r="BM218"/>
      <c r="BN218"/>
      <c r="BO218"/>
      <c r="BP218"/>
      <c r="BQ218"/>
      <c r="BR218"/>
      <c r="BS218"/>
      <c r="BT218"/>
      <c r="BU218"/>
      <c r="BV218"/>
      <c r="BW218"/>
      <c r="BX218" s="15"/>
    </row>
    <row r="219" spans="1:76">
      <c r="A219"/>
      <c r="B219" s="542">
        <v>159</v>
      </c>
      <c r="C219" s="734"/>
      <c r="D219" s="673"/>
      <c r="E219"/>
      <c r="F219"/>
      <c r="G219"/>
      <c r="H219"/>
      <c r="I219"/>
      <c r="J219"/>
      <c r="K219"/>
      <c r="L219"/>
      <c r="M219"/>
      <c r="N219"/>
      <c r="O219"/>
      <c r="P219"/>
      <c r="Q219"/>
      <c r="R219"/>
      <c r="S219" s="15"/>
      <c r="T219"/>
      <c r="U219" s="542">
        <v>159</v>
      </c>
      <c r="V219" s="734"/>
      <c r="W219" s="673"/>
      <c r="X219"/>
      <c r="Y219"/>
      <c r="Z219"/>
      <c r="AA219"/>
      <c r="AB219"/>
      <c r="AC219"/>
      <c r="AD219"/>
      <c r="AE219"/>
      <c r="AF219"/>
      <c r="AG219"/>
      <c r="AH219"/>
      <c r="AI219"/>
      <c r="AJ219"/>
      <c r="AK219"/>
      <c r="AL219" s="15"/>
      <c r="AM219"/>
      <c r="AN219" s="542">
        <v>159</v>
      </c>
      <c r="AO219" s="734"/>
      <c r="AP219" s="673"/>
      <c r="AQ219"/>
      <c r="AR219"/>
      <c r="AS219"/>
      <c r="AT219"/>
      <c r="AU219"/>
      <c r="AV219"/>
      <c r="AW219"/>
      <c r="AX219"/>
      <c r="AY219"/>
      <c r="AZ219"/>
      <c r="BA219"/>
      <c r="BB219"/>
      <c r="BC219"/>
      <c r="BD219"/>
      <c r="BE219" s="15"/>
      <c r="BF219"/>
      <c r="BG219" s="542">
        <v>159</v>
      </c>
      <c r="BH219" s="734"/>
      <c r="BI219" s="673"/>
      <c r="BJ219"/>
      <c r="BK219"/>
      <c r="BL219"/>
      <c r="BM219"/>
      <c r="BN219"/>
      <c r="BO219"/>
      <c r="BP219"/>
      <c r="BQ219"/>
      <c r="BR219"/>
      <c r="BS219"/>
      <c r="BT219"/>
      <c r="BU219"/>
      <c r="BV219"/>
      <c r="BW219"/>
      <c r="BX219" s="15"/>
    </row>
    <row r="220" spans="1:76">
      <c r="A220"/>
      <c r="B220" s="542">
        <v>160</v>
      </c>
      <c r="C220" s="734"/>
      <c r="D220" s="673"/>
      <c r="E220"/>
      <c r="F220"/>
      <c r="G220"/>
      <c r="H220"/>
      <c r="I220"/>
      <c r="J220"/>
      <c r="K220"/>
      <c r="L220"/>
      <c r="M220"/>
      <c r="N220"/>
      <c r="O220"/>
      <c r="P220"/>
      <c r="Q220"/>
      <c r="R220"/>
      <c r="S220" s="15"/>
      <c r="T220"/>
      <c r="U220" s="542">
        <v>160</v>
      </c>
      <c r="V220" s="734"/>
      <c r="W220" s="673"/>
      <c r="X220"/>
      <c r="Y220"/>
      <c r="Z220"/>
      <c r="AA220"/>
      <c r="AB220"/>
      <c r="AC220"/>
      <c r="AD220"/>
      <c r="AE220"/>
      <c r="AF220"/>
      <c r="AG220"/>
      <c r="AH220"/>
      <c r="AI220"/>
      <c r="AJ220"/>
      <c r="AK220"/>
      <c r="AL220" s="15"/>
      <c r="AM220"/>
      <c r="AN220" s="542">
        <v>160</v>
      </c>
      <c r="AO220" s="734"/>
      <c r="AP220" s="673"/>
      <c r="AQ220"/>
      <c r="AR220"/>
      <c r="AS220"/>
      <c r="AT220"/>
      <c r="AU220"/>
      <c r="AV220"/>
      <c r="AW220"/>
      <c r="AX220"/>
      <c r="AY220"/>
      <c r="AZ220"/>
      <c r="BA220"/>
      <c r="BB220"/>
      <c r="BC220"/>
      <c r="BD220"/>
      <c r="BE220" s="15"/>
      <c r="BF220"/>
      <c r="BG220" s="542">
        <v>160</v>
      </c>
      <c r="BH220" s="734"/>
      <c r="BI220" s="673"/>
      <c r="BJ220"/>
      <c r="BK220"/>
      <c r="BL220"/>
      <c r="BM220"/>
      <c r="BN220"/>
      <c r="BO220"/>
      <c r="BP220"/>
      <c r="BQ220"/>
      <c r="BR220"/>
      <c r="BS220"/>
      <c r="BT220"/>
      <c r="BU220"/>
      <c r="BV220"/>
      <c r="BW220"/>
      <c r="BX220" s="15"/>
    </row>
    <row r="221" spans="1:76">
      <c r="A221"/>
      <c r="B221" s="542">
        <v>161</v>
      </c>
      <c r="C221" s="734"/>
      <c r="D221" s="673"/>
      <c r="E221"/>
      <c r="F221"/>
      <c r="G221"/>
      <c r="H221"/>
      <c r="I221"/>
      <c r="J221"/>
      <c r="K221"/>
      <c r="L221"/>
      <c r="M221"/>
      <c r="N221"/>
      <c r="O221"/>
      <c r="P221"/>
      <c r="Q221"/>
      <c r="R221"/>
      <c r="S221" s="15"/>
      <c r="T221"/>
      <c r="U221" s="542">
        <v>161</v>
      </c>
      <c r="V221" s="734"/>
      <c r="W221" s="673"/>
      <c r="X221"/>
      <c r="Y221"/>
      <c r="Z221"/>
      <c r="AA221"/>
      <c r="AB221"/>
      <c r="AC221"/>
      <c r="AD221"/>
      <c r="AE221"/>
      <c r="AF221"/>
      <c r="AG221"/>
      <c r="AH221"/>
      <c r="AI221"/>
      <c r="AJ221"/>
      <c r="AK221"/>
      <c r="AL221" s="15"/>
      <c r="AM221"/>
      <c r="AN221" s="542">
        <v>161</v>
      </c>
      <c r="AO221" s="734"/>
      <c r="AP221" s="673"/>
      <c r="AQ221"/>
      <c r="AR221"/>
      <c r="AS221"/>
      <c r="AT221"/>
      <c r="AU221"/>
      <c r="AV221"/>
      <c r="AW221"/>
      <c r="AX221"/>
      <c r="AY221"/>
      <c r="AZ221"/>
      <c r="BA221"/>
      <c r="BB221"/>
      <c r="BC221"/>
      <c r="BD221"/>
      <c r="BE221" s="15"/>
      <c r="BF221"/>
      <c r="BG221" s="542">
        <v>161</v>
      </c>
      <c r="BH221" s="734"/>
      <c r="BI221" s="673"/>
      <c r="BJ221"/>
      <c r="BK221"/>
      <c r="BL221"/>
      <c r="BM221"/>
      <c r="BN221"/>
      <c r="BO221"/>
      <c r="BP221"/>
      <c r="BQ221"/>
      <c r="BR221"/>
      <c r="BS221"/>
      <c r="BT221"/>
      <c r="BU221"/>
      <c r="BV221"/>
      <c r="BW221"/>
      <c r="BX221" s="15"/>
    </row>
    <row r="222" spans="1:76">
      <c r="A222"/>
      <c r="B222" s="542">
        <v>162</v>
      </c>
      <c r="C222" s="734"/>
      <c r="D222" s="673"/>
      <c r="E222"/>
      <c r="F222"/>
      <c r="G222"/>
      <c r="H222"/>
      <c r="I222"/>
      <c r="J222"/>
      <c r="K222"/>
      <c r="L222"/>
      <c r="M222"/>
      <c r="N222"/>
      <c r="O222"/>
      <c r="P222"/>
      <c r="Q222"/>
      <c r="R222"/>
      <c r="S222" s="15"/>
      <c r="T222"/>
      <c r="U222" s="542">
        <v>162</v>
      </c>
      <c r="V222" s="734"/>
      <c r="W222" s="673"/>
      <c r="X222"/>
      <c r="Y222"/>
      <c r="Z222"/>
      <c r="AA222"/>
      <c r="AB222"/>
      <c r="AC222"/>
      <c r="AD222"/>
      <c r="AE222"/>
      <c r="AF222"/>
      <c r="AG222"/>
      <c r="AH222"/>
      <c r="AI222"/>
      <c r="AJ222"/>
      <c r="AK222"/>
      <c r="AL222" s="15"/>
      <c r="AM222"/>
      <c r="AN222" s="542">
        <v>162</v>
      </c>
      <c r="AO222" s="734"/>
      <c r="AP222" s="673"/>
      <c r="AQ222"/>
      <c r="AR222"/>
      <c r="AS222"/>
      <c r="AT222"/>
      <c r="AU222"/>
      <c r="AV222"/>
      <c r="AW222"/>
      <c r="AX222"/>
      <c r="AY222"/>
      <c r="AZ222"/>
      <c r="BA222"/>
      <c r="BB222"/>
      <c r="BC222"/>
      <c r="BD222"/>
      <c r="BE222" s="15"/>
      <c r="BF222"/>
      <c r="BG222" s="542">
        <v>162</v>
      </c>
      <c r="BH222" s="734"/>
      <c r="BI222" s="673"/>
      <c r="BJ222"/>
      <c r="BK222"/>
      <c r="BL222"/>
      <c r="BM222"/>
      <c r="BN222"/>
      <c r="BO222"/>
      <c r="BP222"/>
      <c r="BQ222"/>
      <c r="BR222"/>
      <c r="BS222"/>
      <c r="BT222"/>
      <c r="BU222"/>
      <c r="BV222"/>
      <c r="BW222"/>
      <c r="BX222" s="15"/>
    </row>
    <row r="223" spans="1:76">
      <c r="A223"/>
      <c r="B223" s="542">
        <v>163</v>
      </c>
      <c r="C223" s="734"/>
      <c r="D223" s="673"/>
      <c r="E223"/>
      <c r="F223"/>
      <c r="G223"/>
      <c r="H223"/>
      <c r="I223"/>
      <c r="J223"/>
      <c r="K223"/>
      <c r="L223"/>
      <c r="M223"/>
      <c r="N223"/>
      <c r="O223"/>
      <c r="P223"/>
      <c r="Q223"/>
      <c r="R223"/>
      <c r="S223" s="15"/>
      <c r="T223"/>
      <c r="U223" s="542">
        <v>163</v>
      </c>
      <c r="V223" s="734"/>
      <c r="W223" s="673"/>
      <c r="X223"/>
      <c r="Y223"/>
      <c r="Z223"/>
      <c r="AA223"/>
      <c r="AB223"/>
      <c r="AC223"/>
      <c r="AD223"/>
      <c r="AE223"/>
      <c r="AF223"/>
      <c r="AG223"/>
      <c r="AH223"/>
      <c r="AI223"/>
      <c r="AJ223"/>
      <c r="AK223"/>
      <c r="AL223" s="15"/>
      <c r="AM223"/>
      <c r="AN223" s="542">
        <v>163</v>
      </c>
      <c r="AO223" s="734"/>
      <c r="AP223" s="673"/>
      <c r="AQ223"/>
      <c r="AR223"/>
      <c r="AS223"/>
      <c r="AT223"/>
      <c r="AU223"/>
      <c r="AV223"/>
      <c r="AW223"/>
      <c r="AX223"/>
      <c r="AY223"/>
      <c r="AZ223"/>
      <c r="BA223"/>
      <c r="BB223"/>
      <c r="BC223"/>
      <c r="BD223"/>
      <c r="BE223" s="15"/>
      <c r="BF223"/>
      <c r="BG223" s="542">
        <v>163</v>
      </c>
      <c r="BH223" s="734"/>
      <c r="BI223" s="673"/>
      <c r="BJ223"/>
      <c r="BK223"/>
      <c r="BL223"/>
      <c r="BM223"/>
      <c r="BN223"/>
      <c r="BO223"/>
      <c r="BP223"/>
      <c r="BQ223"/>
      <c r="BR223"/>
      <c r="BS223"/>
      <c r="BT223"/>
      <c r="BU223"/>
      <c r="BV223"/>
      <c r="BW223"/>
      <c r="BX223" s="15"/>
    </row>
    <row r="224" spans="1:76">
      <c r="A224"/>
      <c r="B224" s="542">
        <v>164</v>
      </c>
      <c r="C224" s="734"/>
      <c r="D224" s="673"/>
      <c r="E224"/>
      <c r="F224"/>
      <c r="G224"/>
      <c r="H224"/>
      <c r="I224"/>
      <c r="J224"/>
      <c r="K224"/>
      <c r="L224"/>
      <c r="M224"/>
      <c r="N224"/>
      <c r="O224"/>
      <c r="P224"/>
      <c r="Q224"/>
      <c r="R224"/>
      <c r="S224" s="15"/>
      <c r="T224"/>
      <c r="U224" s="542">
        <v>164</v>
      </c>
      <c r="V224" s="734"/>
      <c r="W224" s="673"/>
      <c r="X224"/>
      <c r="Y224"/>
      <c r="Z224"/>
      <c r="AA224"/>
      <c r="AB224"/>
      <c r="AC224"/>
      <c r="AD224"/>
      <c r="AE224"/>
      <c r="AF224"/>
      <c r="AG224"/>
      <c r="AH224"/>
      <c r="AI224"/>
      <c r="AJ224"/>
      <c r="AK224"/>
      <c r="AL224" s="15"/>
      <c r="AM224"/>
      <c r="AN224" s="542">
        <v>164</v>
      </c>
      <c r="AO224" s="734"/>
      <c r="AP224" s="673"/>
      <c r="AQ224"/>
      <c r="AR224"/>
      <c r="AS224"/>
      <c r="AT224"/>
      <c r="AU224"/>
      <c r="AV224"/>
      <c r="AW224"/>
      <c r="AX224"/>
      <c r="AY224"/>
      <c r="AZ224"/>
      <c r="BA224"/>
      <c r="BB224"/>
      <c r="BC224"/>
      <c r="BD224"/>
      <c r="BE224" s="15"/>
      <c r="BF224"/>
      <c r="BG224" s="542">
        <v>164</v>
      </c>
      <c r="BH224" s="734"/>
      <c r="BI224" s="673"/>
      <c r="BJ224"/>
      <c r="BK224"/>
      <c r="BL224"/>
      <c r="BM224"/>
      <c r="BN224"/>
      <c r="BO224"/>
      <c r="BP224"/>
      <c r="BQ224"/>
      <c r="BR224"/>
      <c r="BS224"/>
      <c r="BT224"/>
      <c r="BU224"/>
      <c r="BV224"/>
      <c r="BW224"/>
      <c r="BX224" s="15"/>
    </row>
    <row r="225" spans="1:76">
      <c r="A225"/>
      <c r="B225" s="542">
        <v>165</v>
      </c>
      <c r="C225" s="734"/>
      <c r="D225" s="673"/>
      <c r="E225"/>
      <c r="F225"/>
      <c r="G225"/>
      <c r="H225"/>
      <c r="I225"/>
      <c r="J225"/>
      <c r="K225"/>
      <c r="L225"/>
      <c r="M225"/>
      <c r="N225"/>
      <c r="O225"/>
      <c r="P225"/>
      <c r="Q225"/>
      <c r="R225"/>
      <c r="S225" s="15"/>
      <c r="T225"/>
      <c r="U225" s="542">
        <v>165</v>
      </c>
      <c r="V225" s="734"/>
      <c r="W225" s="673"/>
      <c r="X225"/>
      <c r="Y225"/>
      <c r="Z225"/>
      <c r="AA225"/>
      <c r="AB225"/>
      <c r="AC225"/>
      <c r="AD225"/>
      <c r="AE225"/>
      <c r="AF225"/>
      <c r="AG225"/>
      <c r="AH225"/>
      <c r="AI225"/>
      <c r="AJ225"/>
      <c r="AK225"/>
      <c r="AL225" s="15"/>
      <c r="AM225"/>
      <c r="AN225" s="542">
        <v>165</v>
      </c>
      <c r="AO225" s="734"/>
      <c r="AP225" s="673"/>
      <c r="AQ225"/>
      <c r="AR225"/>
      <c r="AS225"/>
      <c r="AT225"/>
      <c r="AU225"/>
      <c r="AV225"/>
      <c r="AW225"/>
      <c r="AX225"/>
      <c r="AY225"/>
      <c r="AZ225"/>
      <c r="BA225"/>
      <c r="BB225"/>
      <c r="BC225"/>
      <c r="BD225"/>
      <c r="BE225" s="15"/>
      <c r="BF225"/>
      <c r="BG225" s="542">
        <v>165</v>
      </c>
      <c r="BH225" s="734"/>
      <c r="BI225" s="673"/>
      <c r="BJ225"/>
      <c r="BK225"/>
      <c r="BL225"/>
      <c r="BM225"/>
      <c r="BN225"/>
      <c r="BO225"/>
      <c r="BP225"/>
      <c r="BQ225"/>
      <c r="BR225"/>
      <c r="BS225"/>
      <c r="BT225"/>
      <c r="BU225"/>
      <c r="BV225"/>
      <c r="BW225"/>
      <c r="BX225" s="15"/>
    </row>
    <row r="226" spans="1:76">
      <c r="A226"/>
      <c r="B226" s="542">
        <v>166</v>
      </c>
      <c r="C226" s="734"/>
      <c r="D226" s="673"/>
      <c r="E226"/>
      <c r="F226"/>
      <c r="G226"/>
      <c r="H226"/>
      <c r="I226"/>
      <c r="J226"/>
      <c r="K226"/>
      <c r="L226"/>
      <c r="M226"/>
      <c r="N226"/>
      <c r="O226"/>
      <c r="P226"/>
      <c r="Q226"/>
      <c r="R226"/>
      <c r="S226" s="15"/>
      <c r="T226"/>
      <c r="U226" s="542">
        <v>166</v>
      </c>
      <c r="V226" s="734"/>
      <c r="W226" s="673"/>
      <c r="X226"/>
      <c r="Y226"/>
      <c r="Z226"/>
      <c r="AA226"/>
      <c r="AB226"/>
      <c r="AC226"/>
      <c r="AD226"/>
      <c r="AE226"/>
      <c r="AF226"/>
      <c r="AG226"/>
      <c r="AH226"/>
      <c r="AI226"/>
      <c r="AJ226"/>
      <c r="AK226"/>
      <c r="AL226" s="15"/>
      <c r="AM226"/>
      <c r="AN226" s="542">
        <v>166</v>
      </c>
      <c r="AO226" s="734"/>
      <c r="AP226" s="673"/>
      <c r="AQ226"/>
      <c r="AR226"/>
      <c r="AS226"/>
      <c r="AT226"/>
      <c r="AU226"/>
      <c r="AV226"/>
      <c r="AW226"/>
      <c r="AX226"/>
      <c r="AY226"/>
      <c r="AZ226"/>
      <c r="BA226"/>
      <c r="BB226"/>
      <c r="BC226"/>
      <c r="BD226"/>
      <c r="BE226" s="15"/>
      <c r="BF226"/>
      <c r="BG226" s="542">
        <v>166</v>
      </c>
      <c r="BH226" s="734"/>
      <c r="BI226" s="673"/>
      <c r="BJ226"/>
      <c r="BK226"/>
      <c r="BL226"/>
      <c r="BM226"/>
      <c r="BN226"/>
      <c r="BO226"/>
      <c r="BP226"/>
      <c r="BQ226"/>
      <c r="BR226"/>
      <c r="BS226"/>
      <c r="BT226"/>
      <c r="BU226"/>
      <c r="BV226"/>
      <c r="BW226"/>
      <c r="BX226" s="15"/>
    </row>
    <row r="227" spans="1:76">
      <c r="A227"/>
      <c r="B227" s="542">
        <v>167</v>
      </c>
      <c r="C227" s="734"/>
      <c r="D227" s="673"/>
      <c r="E227"/>
      <c r="F227"/>
      <c r="G227"/>
      <c r="H227"/>
      <c r="I227"/>
      <c r="J227"/>
      <c r="K227"/>
      <c r="L227"/>
      <c r="M227"/>
      <c r="N227"/>
      <c r="O227"/>
      <c r="P227"/>
      <c r="Q227"/>
      <c r="R227"/>
      <c r="S227" s="15"/>
      <c r="T227"/>
      <c r="U227" s="542">
        <v>167</v>
      </c>
      <c r="V227" s="734"/>
      <c r="W227" s="673"/>
      <c r="X227"/>
      <c r="Y227"/>
      <c r="Z227"/>
      <c r="AA227"/>
      <c r="AB227"/>
      <c r="AC227"/>
      <c r="AD227"/>
      <c r="AE227"/>
      <c r="AF227"/>
      <c r="AG227"/>
      <c r="AH227"/>
      <c r="AI227"/>
      <c r="AJ227"/>
      <c r="AK227"/>
      <c r="AL227" s="15"/>
      <c r="AM227"/>
      <c r="AN227" s="542">
        <v>167</v>
      </c>
      <c r="AO227" s="734"/>
      <c r="AP227" s="673"/>
      <c r="AQ227"/>
      <c r="AR227"/>
      <c r="AS227"/>
      <c r="AT227"/>
      <c r="AU227"/>
      <c r="AV227"/>
      <c r="AW227"/>
      <c r="AX227"/>
      <c r="AY227"/>
      <c r="AZ227"/>
      <c r="BA227"/>
      <c r="BB227"/>
      <c r="BC227"/>
      <c r="BD227"/>
      <c r="BE227" s="15"/>
      <c r="BF227"/>
      <c r="BG227" s="542">
        <v>167</v>
      </c>
      <c r="BH227" s="734"/>
      <c r="BI227" s="673"/>
      <c r="BJ227"/>
      <c r="BK227"/>
      <c r="BL227"/>
      <c r="BM227"/>
      <c r="BN227"/>
      <c r="BO227"/>
      <c r="BP227"/>
      <c r="BQ227"/>
      <c r="BR227"/>
      <c r="BS227"/>
      <c r="BT227"/>
      <c r="BU227"/>
      <c r="BV227"/>
      <c r="BW227"/>
      <c r="BX227" s="15"/>
    </row>
    <row r="228" spans="1:76">
      <c r="A228"/>
      <c r="B228" s="542">
        <v>168</v>
      </c>
      <c r="C228" s="734"/>
      <c r="D228" s="673"/>
      <c r="E228"/>
      <c r="F228"/>
      <c r="G228"/>
      <c r="H228"/>
      <c r="I228"/>
      <c r="J228"/>
      <c r="K228"/>
      <c r="L228"/>
      <c r="M228"/>
      <c r="N228"/>
      <c r="O228"/>
      <c r="P228"/>
      <c r="Q228"/>
      <c r="R228"/>
      <c r="S228" s="15"/>
      <c r="T228"/>
      <c r="U228" s="542">
        <v>168</v>
      </c>
      <c r="V228" s="734"/>
      <c r="W228" s="673"/>
      <c r="X228"/>
      <c r="Y228"/>
      <c r="Z228"/>
      <c r="AA228"/>
      <c r="AB228"/>
      <c r="AC228"/>
      <c r="AD228"/>
      <c r="AE228"/>
      <c r="AF228"/>
      <c r="AG228"/>
      <c r="AH228"/>
      <c r="AI228"/>
      <c r="AJ228"/>
      <c r="AK228"/>
      <c r="AL228" s="15"/>
      <c r="AM228"/>
      <c r="AN228" s="542">
        <v>168</v>
      </c>
      <c r="AO228" s="734"/>
      <c r="AP228" s="673"/>
      <c r="AQ228"/>
      <c r="AR228"/>
      <c r="AS228"/>
      <c r="AT228"/>
      <c r="AU228"/>
      <c r="AV228"/>
      <c r="AW228"/>
      <c r="AX228"/>
      <c r="AY228"/>
      <c r="AZ228"/>
      <c r="BA228"/>
      <c r="BB228"/>
      <c r="BC228"/>
      <c r="BD228"/>
      <c r="BE228" s="15"/>
      <c r="BF228"/>
      <c r="BG228" s="542">
        <v>168</v>
      </c>
      <c r="BH228" s="734"/>
      <c r="BI228" s="673"/>
      <c r="BJ228"/>
      <c r="BK228"/>
      <c r="BL228"/>
      <c r="BM228"/>
      <c r="BN228"/>
      <c r="BO228"/>
      <c r="BP228"/>
      <c r="BQ228"/>
      <c r="BR228"/>
      <c r="BS228"/>
      <c r="BT228"/>
      <c r="BU228"/>
      <c r="BV228"/>
      <c r="BW228"/>
      <c r="BX228" s="15"/>
    </row>
    <row r="229" spans="1:76">
      <c r="A229"/>
      <c r="B229" s="542">
        <v>169</v>
      </c>
      <c r="C229" s="734"/>
      <c r="D229" s="673"/>
      <c r="E229"/>
      <c r="F229"/>
      <c r="G229"/>
      <c r="H229"/>
      <c r="I229"/>
      <c r="J229"/>
      <c r="K229"/>
      <c r="L229"/>
      <c r="M229"/>
      <c r="N229"/>
      <c r="O229"/>
      <c r="P229"/>
      <c r="Q229"/>
      <c r="R229"/>
      <c r="S229" s="15"/>
      <c r="T229"/>
      <c r="U229" s="542">
        <v>169</v>
      </c>
      <c r="V229" s="734"/>
      <c r="W229" s="673"/>
      <c r="X229"/>
      <c r="Y229"/>
      <c r="Z229"/>
      <c r="AA229"/>
      <c r="AB229"/>
      <c r="AC229"/>
      <c r="AD229"/>
      <c r="AE229"/>
      <c r="AF229"/>
      <c r="AG229"/>
      <c r="AH229"/>
      <c r="AI229"/>
      <c r="AJ229"/>
      <c r="AK229"/>
      <c r="AL229" s="15"/>
      <c r="AM229"/>
      <c r="AN229" s="542">
        <v>169</v>
      </c>
      <c r="AO229" s="734"/>
      <c r="AP229" s="673"/>
      <c r="AQ229"/>
      <c r="AR229"/>
      <c r="AS229"/>
      <c r="AT229"/>
      <c r="AU229"/>
      <c r="AV229"/>
      <c r="AW229"/>
      <c r="AX229"/>
      <c r="AY229"/>
      <c r="AZ229"/>
      <c r="BA229"/>
      <c r="BB229"/>
      <c r="BC229"/>
      <c r="BD229"/>
      <c r="BE229" s="15"/>
      <c r="BF229"/>
      <c r="BG229" s="542">
        <v>169</v>
      </c>
      <c r="BH229" s="734"/>
      <c r="BI229" s="673"/>
      <c r="BJ229"/>
      <c r="BK229"/>
      <c r="BL229"/>
      <c r="BM229"/>
      <c r="BN229"/>
      <c r="BO229"/>
      <c r="BP229"/>
      <c r="BQ229"/>
      <c r="BR229"/>
      <c r="BS229"/>
      <c r="BT229"/>
      <c r="BU229"/>
      <c r="BV229"/>
      <c r="BW229"/>
      <c r="BX229" s="15"/>
    </row>
    <row r="230" spans="1:76">
      <c r="A230"/>
      <c r="B230" s="542">
        <v>170</v>
      </c>
      <c r="C230" s="734"/>
      <c r="D230" s="673"/>
      <c r="E230"/>
      <c r="F230"/>
      <c r="G230"/>
      <c r="H230"/>
      <c r="I230"/>
      <c r="J230"/>
      <c r="K230"/>
      <c r="L230"/>
      <c r="M230"/>
      <c r="N230"/>
      <c r="O230"/>
      <c r="P230"/>
      <c r="Q230"/>
      <c r="R230"/>
      <c r="S230" s="15"/>
      <c r="T230"/>
      <c r="U230" s="542">
        <v>170</v>
      </c>
      <c r="V230" s="734"/>
      <c r="W230" s="673"/>
      <c r="X230"/>
      <c r="Y230"/>
      <c r="Z230"/>
      <c r="AA230"/>
      <c r="AB230"/>
      <c r="AC230"/>
      <c r="AD230"/>
      <c r="AE230"/>
      <c r="AF230"/>
      <c r="AG230"/>
      <c r="AH230"/>
      <c r="AI230"/>
      <c r="AJ230"/>
      <c r="AK230"/>
      <c r="AL230" s="15"/>
      <c r="AM230"/>
      <c r="AN230" s="542">
        <v>170</v>
      </c>
      <c r="AO230" s="734"/>
      <c r="AP230" s="673"/>
      <c r="AQ230"/>
      <c r="AR230"/>
      <c r="AS230"/>
      <c r="AT230"/>
      <c r="AU230"/>
      <c r="AV230"/>
      <c r="AW230"/>
      <c r="AX230"/>
      <c r="AY230"/>
      <c r="AZ230"/>
      <c r="BA230"/>
      <c r="BB230"/>
      <c r="BC230"/>
      <c r="BD230"/>
      <c r="BE230" s="15"/>
      <c r="BF230"/>
      <c r="BG230" s="542">
        <v>170</v>
      </c>
      <c r="BH230" s="734"/>
      <c r="BI230" s="673"/>
      <c r="BJ230"/>
      <c r="BK230"/>
      <c r="BL230"/>
      <c r="BM230"/>
      <c r="BN230"/>
      <c r="BO230"/>
      <c r="BP230"/>
      <c r="BQ230"/>
      <c r="BR230"/>
      <c r="BS230"/>
      <c r="BT230"/>
      <c r="BU230"/>
      <c r="BV230"/>
      <c r="BW230"/>
      <c r="BX230" s="15"/>
    </row>
    <row r="231" spans="1:76">
      <c r="A231"/>
      <c r="B231" s="542">
        <v>171</v>
      </c>
      <c r="C231" s="734"/>
      <c r="D231" s="673"/>
      <c r="E231"/>
      <c r="F231"/>
      <c r="G231"/>
      <c r="H231"/>
      <c r="I231"/>
      <c r="J231"/>
      <c r="K231"/>
      <c r="L231"/>
      <c r="M231"/>
      <c r="N231"/>
      <c r="O231"/>
      <c r="P231"/>
      <c r="Q231"/>
      <c r="R231"/>
      <c r="S231" s="15"/>
      <c r="T231"/>
      <c r="U231" s="542">
        <v>171</v>
      </c>
      <c r="V231" s="734"/>
      <c r="W231" s="673"/>
      <c r="X231"/>
      <c r="Y231"/>
      <c r="Z231"/>
      <c r="AA231"/>
      <c r="AB231"/>
      <c r="AC231"/>
      <c r="AD231"/>
      <c r="AE231"/>
      <c r="AF231"/>
      <c r="AG231"/>
      <c r="AH231"/>
      <c r="AI231"/>
      <c r="AJ231"/>
      <c r="AK231"/>
      <c r="AL231" s="15"/>
      <c r="AM231"/>
      <c r="AN231" s="542">
        <v>171</v>
      </c>
      <c r="AO231" s="734"/>
      <c r="AP231" s="673"/>
      <c r="AQ231"/>
      <c r="AR231"/>
      <c r="AS231"/>
      <c r="AT231"/>
      <c r="AU231"/>
      <c r="AV231"/>
      <c r="AW231"/>
      <c r="AX231"/>
      <c r="AY231"/>
      <c r="AZ231"/>
      <c r="BA231"/>
      <c r="BB231"/>
      <c r="BC231"/>
      <c r="BD231"/>
      <c r="BE231" s="15"/>
      <c r="BF231"/>
      <c r="BG231" s="542">
        <v>171</v>
      </c>
      <c r="BH231" s="734"/>
      <c r="BI231" s="673"/>
      <c r="BJ231"/>
      <c r="BK231"/>
      <c r="BL231"/>
      <c r="BM231"/>
      <c r="BN231"/>
      <c r="BO231"/>
      <c r="BP231"/>
      <c r="BQ231"/>
      <c r="BR231"/>
      <c r="BS231"/>
      <c r="BT231"/>
      <c r="BU231"/>
      <c r="BV231"/>
      <c r="BW231"/>
      <c r="BX231" s="15"/>
    </row>
    <row r="232" spans="1:76">
      <c r="A232"/>
      <c r="B232" s="542">
        <v>172</v>
      </c>
      <c r="C232" s="734"/>
      <c r="D232" s="569"/>
      <c r="E232"/>
      <c r="F232"/>
      <c r="G232"/>
      <c r="H232"/>
      <c r="I232"/>
      <c r="J232"/>
      <c r="K232"/>
      <c r="L232"/>
      <c r="M232"/>
      <c r="N232"/>
      <c r="O232"/>
      <c r="P232"/>
      <c r="Q232"/>
      <c r="R232"/>
      <c r="S232" s="15"/>
      <c r="T232"/>
      <c r="U232" s="542">
        <v>172</v>
      </c>
      <c r="V232" s="734"/>
      <c r="W232" s="569"/>
      <c r="X232"/>
      <c r="Y232"/>
      <c r="Z232"/>
      <c r="AA232"/>
      <c r="AB232"/>
      <c r="AC232"/>
      <c r="AD232"/>
      <c r="AE232"/>
      <c r="AF232"/>
      <c r="AG232"/>
      <c r="AH232"/>
      <c r="AI232"/>
      <c r="AJ232"/>
      <c r="AK232"/>
      <c r="AL232" s="15"/>
      <c r="AM232"/>
      <c r="AN232" s="542">
        <v>172</v>
      </c>
      <c r="AO232" s="734"/>
      <c r="AP232" s="569"/>
      <c r="AQ232"/>
      <c r="AR232"/>
      <c r="AS232"/>
      <c r="AT232"/>
      <c r="AU232"/>
      <c r="AV232"/>
      <c r="AW232"/>
      <c r="AX232"/>
      <c r="AY232"/>
      <c r="AZ232"/>
      <c r="BA232"/>
      <c r="BB232"/>
      <c r="BC232"/>
      <c r="BD232"/>
      <c r="BE232" s="15"/>
      <c r="BF232"/>
      <c r="BG232" s="542">
        <v>172</v>
      </c>
      <c r="BH232" s="734"/>
      <c r="BI232" s="569"/>
      <c r="BJ232"/>
      <c r="BK232"/>
      <c r="BL232"/>
      <c r="BM232"/>
      <c r="BN232"/>
      <c r="BO232"/>
      <c r="BP232"/>
      <c r="BQ232"/>
      <c r="BR232"/>
      <c r="BS232"/>
      <c r="BT232"/>
      <c r="BU232"/>
      <c r="BV232"/>
      <c r="BW232"/>
      <c r="BX232" s="15"/>
    </row>
    <row r="233" spans="1:76">
      <c r="A233"/>
      <c r="B233" s="542">
        <v>173</v>
      </c>
      <c r="C233" s="733"/>
      <c r="D233" s="569"/>
      <c r="E233"/>
      <c r="F233"/>
      <c r="G233"/>
      <c r="H233"/>
      <c r="I233"/>
      <c r="J233"/>
      <c r="K233"/>
      <c r="L233"/>
      <c r="M233"/>
      <c r="N233"/>
      <c r="O233"/>
      <c r="P233"/>
      <c r="Q233"/>
      <c r="R233"/>
      <c r="S233" s="15"/>
      <c r="T233"/>
      <c r="U233" s="542">
        <v>173</v>
      </c>
      <c r="V233" s="733"/>
      <c r="W233" s="569"/>
      <c r="X233"/>
      <c r="Y233"/>
      <c r="Z233"/>
      <c r="AA233"/>
      <c r="AB233"/>
      <c r="AC233"/>
      <c r="AD233"/>
      <c r="AE233"/>
      <c r="AF233"/>
      <c r="AG233"/>
      <c r="AH233"/>
      <c r="AI233"/>
      <c r="AJ233"/>
      <c r="AK233"/>
      <c r="AL233" s="15"/>
      <c r="AM233"/>
      <c r="AN233" s="542">
        <v>173</v>
      </c>
      <c r="AO233" s="733"/>
      <c r="AP233" s="569"/>
      <c r="AQ233"/>
      <c r="AR233"/>
      <c r="AS233"/>
      <c r="AT233"/>
      <c r="AU233"/>
      <c r="AV233"/>
      <c r="AW233"/>
      <c r="AX233"/>
      <c r="AY233"/>
      <c r="AZ233"/>
      <c r="BA233"/>
      <c r="BB233"/>
      <c r="BC233"/>
      <c r="BD233"/>
      <c r="BE233" s="15"/>
      <c r="BF233"/>
      <c r="BG233" s="542">
        <v>173</v>
      </c>
      <c r="BH233" s="733"/>
      <c r="BI233" s="569"/>
      <c r="BJ233"/>
      <c r="BK233"/>
      <c r="BL233"/>
      <c r="BM233"/>
      <c r="BN233"/>
      <c r="BO233"/>
      <c r="BP233"/>
      <c r="BQ233"/>
      <c r="BR233"/>
      <c r="BS233"/>
      <c r="BT233"/>
      <c r="BU233"/>
      <c r="BV233"/>
      <c r="BW233"/>
      <c r="BX233" s="15"/>
    </row>
    <row r="234" spans="1:76">
      <c r="A234"/>
      <c r="B234" s="542">
        <v>174</v>
      </c>
      <c r="C234" s="733"/>
      <c r="D234" s="569"/>
      <c r="E234"/>
      <c r="F234"/>
      <c r="G234"/>
      <c r="H234"/>
      <c r="I234"/>
      <c r="J234"/>
      <c r="K234"/>
      <c r="L234"/>
      <c r="M234"/>
      <c r="N234"/>
      <c r="O234"/>
      <c r="P234"/>
      <c r="Q234"/>
      <c r="R234"/>
      <c r="S234" s="15"/>
      <c r="T234"/>
      <c r="U234" s="542">
        <v>174</v>
      </c>
      <c r="V234" s="733"/>
      <c r="W234" s="569"/>
      <c r="X234"/>
      <c r="Y234"/>
      <c r="Z234"/>
      <c r="AA234"/>
      <c r="AB234"/>
      <c r="AC234"/>
      <c r="AD234"/>
      <c r="AE234"/>
      <c r="AF234"/>
      <c r="AG234"/>
      <c r="AH234"/>
      <c r="AI234"/>
      <c r="AJ234"/>
      <c r="AK234"/>
      <c r="AL234" s="15"/>
      <c r="AM234"/>
      <c r="AN234" s="542">
        <v>174</v>
      </c>
      <c r="AO234" s="733"/>
      <c r="AP234" s="569"/>
      <c r="AQ234"/>
      <c r="AR234"/>
      <c r="AS234"/>
      <c r="AT234"/>
      <c r="AU234"/>
      <c r="AV234"/>
      <c r="AW234"/>
      <c r="AX234"/>
      <c r="AY234"/>
      <c r="AZ234"/>
      <c r="BA234"/>
      <c r="BB234"/>
      <c r="BC234"/>
      <c r="BD234"/>
      <c r="BE234" s="15"/>
      <c r="BF234"/>
      <c r="BG234" s="542">
        <v>174</v>
      </c>
      <c r="BH234" s="733"/>
      <c r="BI234" s="569"/>
      <c r="BJ234"/>
      <c r="BK234"/>
      <c r="BL234"/>
      <c r="BM234"/>
      <c r="BN234"/>
      <c r="BO234"/>
      <c r="BP234"/>
      <c r="BQ234"/>
      <c r="BR234"/>
      <c r="BS234"/>
      <c r="BT234"/>
      <c r="BU234"/>
      <c r="BV234"/>
      <c r="BW234"/>
      <c r="BX234" s="15"/>
    </row>
    <row r="235" spans="1:76">
      <c r="A235"/>
      <c r="B235" s="542">
        <v>175</v>
      </c>
      <c r="C235" s="733"/>
      <c r="D235" s="569"/>
      <c r="E235"/>
      <c r="F235"/>
      <c r="G235"/>
      <c r="H235"/>
      <c r="I235"/>
      <c r="J235"/>
      <c r="K235"/>
      <c r="L235"/>
      <c r="M235"/>
      <c r="N235"/>
      <c r="O235"/>
      <c r="P235"/>
      <c r="Q235"/>
      <c r="R235"/>
      <c r="S235" s="15"/>
      <c r="T235"/>
      <c r="U235" s="542">
        <v>175</v>
      </c>
      <c r="V235" s="733"/>
      <c r="W235" s="569"/>
      <c r="X235"/>
      <c r="Y235"/>
      <c r="Z235"/>
      <c r="AA235"/>
      <c r="AB235"/>
      <c r="AC235"/>
      <c r="AD235"/>
      <c r="AE235"/>
      <c r="AF235"/>
      <c r="AG235"/>
      <c r="AH235"/>
      <c r="AI235"/>
      <c r="AJ235"/>
      <c r="AK235"/>
      <c r="AL235" s="15"/>
      <c r="AM235"/>
      <c r="AN235" s="542">
        <v>175</v>
      </c>
      <c r="AO235" s="733"/>
      <c r="AP235" s="569"/>
      <c r="AQ235"/>
      <c r="AR235"/>
      <c r="AS235"/>
      <c r="AT235"/>
      <c r="AU235"/>
      <c r="AV235"/>
      <c r="AW235"/>
      <c r="AX235"/>
      <c r="AY235"/>
      <c r="AZ235"/>
      <c r="BA235"/>
      <c r="BB235"/>
      <c r="BC235"/>
      <c r="BD235"/>
      <c r="BE235" s="15"/>
      <c r="BF235"/>
      <c r="BG235" s="542">
        <v>175</v>
      </c>
      <c r="BH235" s="733"/>
      <c r="BI235" s="569"/>
      <c r="BJ235"/>
      <c r="BK235"/>
      <c r="BL235"/>
      <c r="BM235"/>
      <c r="BN235"/>
      <c r="BO235"/>
      <c r="BP235"/>
      <c r="BQ235"/>
      <c r="BR235"/>
      <c r="BS235"/>
      <c r="BT235"/>
      <c r="BU235"/>
      <c r="BV235"/>
      <c r="BW235"/>
      <c r="BX235" s="15"/>
    </row>
    <row r="236" spans="1:76">
      <c r="A236"/>
      <c r="B236" s="542">
        <v>176</v>
      </c>
      <c r="C236" s="733"/>
      <c r="D236" s="569"/>
      <c r="E236"/>
      <c r="F236"/>
      <c r="G236"/>
      <c r="H236"/>
      <c r="I236"/>
      <c r="J236"/>
      <c r="K236"/>
      <c r="L236"/>
      <c r="M236"/>
      <c r="N236"/>
      <c r="O236"/>
      <c r="P236"/>
      <c r="Q236"/>
      <c r="R236"/>
      <c r="S236" s="15"/>
      <c r="T236"/>
      <c r="U236" s="542">
        <v>176</v>
      </c>
      <c r="V236" s="733"/>
      <c r="W236" s="569"/>
      <c r="X236"/>
      <c r="Y236"/>
      <c r="Z236"/>
      <c r="AA236"/>
      <c r="AB236"/>
      <c r="AC236"/>
      <c r="AD236"/>
      <c r="AE236"/>
      <c r="AF236"/>
      <c r="AG236"/>
      <c r="AH236"/>
      <c r="AI236"/>
      <c r="AJ236"/>
      <c r="AK236"/>
      <c r="AL236" s="15"/>
      <c r="AM236"/>
      <c r="AN236" s="542">
        <v>176</v>
      </c>
      <c r="AO236" s="733"/>
      <c r="AP236" s="569"/>
      <c r="AQ236"/>
      <c r="AR236"/>
      <c r="AS236"/>
      <c r="AT236"/>
      <c r="AU236"/>
      <c r="AV236"/>
      <c r="AW236"/>
      <c r="AX236"/>
      <c r="AY236"/>
      <c r="AZ236"/>
      <c r="BA236"/>
      <c r="BB236"/>
      <c r="BC236"/>
      <c r="BD236"/>
      <c r="BE236" s="15"/>
      <c r="BF236"/>
      <c r="BG236" s="542">
        <v>176</v>
      </c>
      <c r="BH236" s="733"/>
      <c r="BI236" s="569"/>
      <c r="BJ236"/>
      <c r="BK236"/>
      <c r="BL236"/>
      <c r="BM236"/>
      <c r="BN236"/>
      <c r="BO236"/>
      <c r="BP236"/>
      <c r="BQ236"/>
      <c r="BR236"/>
      <c r="BS236"/>
      <c r="BT236"/>
      <c r="BU236"/>
      <c r="BV236"/>
      <c r="BW236"/>
      <c r="BX236" s="15"/>
    </row>
    <row r="237" spans="1:76">
      <c r="A237"/>
      <c r="B237" s="542">
        <v>177</v>
      </c>
      <c r="C237" s="733"/>
      <c r="D237" s="569"/>
      <c r="E237"/>
      <c r="F237"/>
      <c r="G237"/>
      <c r="H237"/>
      <c r="I237"/>
      <c r="J237"/>
      <c r="K237"/>
      <c r="L237"/>
      <c r="M237"/>
      <c r="N237"/>
      <c r="O237"/>
      <c r="P237"/>
      <c r="Q237"/>
      <c r="R237"/>
      <c r="S237" s="15"/>
      <c r="T237"/>
      <c r="U237" s="542">
        <v>177</v>
      </c>
      <c r="V237" s="733"/>
      <c r="W237" s="569"/>
      <c r="X237"/>
      <c r="Y237"/>
      <c r="Z237"/>
      <c r="AA237"/>
      <c r="AB237"/>
      <c r="AC237"/>
      <c r="AD237"/>
      <c r="AE237"/>
      <c r="AF237"/>
      <c r="AG237"/>
      <c r="AH237"/>
      <c r="AI237"/>
      <c r="AJ237"/>
      <c r="AK237"/>
      <c r="AL237" s="15"/>
      <c r="AM237"/>
      <c r="AN237" s="542">
        <v>177</v>
      </c>
      <c r="AO237" s="733"/>
      <c r="AP237" s="569"/>
      <c r="AQ237"/>
      <c r="AR237"/>
      <c r="AS237"/>
      <c r="AT237"/>
      <c r="AU237"/>
      <c r="AV237"/>
      <c r="AW237"/>
      <c r="AX237"/>
      <c r="AY237"/>
      <c r="AZ237"/>
      <c r="BA237"/>
      <c r="BB237"/>
      <c r="BC237"/>
      <c r="BD237"/>
      <c r="BE237" s="15"/>
      <c r="BF237"/>
      <c r="BG237" s="542">
        <v>177</v>
      </c>
      <c r="BH237" s="733"/>
      <c r="BI237" s="569"/>
      <c r="BJ237"/>
      <c r="BK237"/>
      <c r="BL237"/>
      <c r="BM237"/>
      <c r="BN237"/>
      <c r="BO237"/>
      <c r="BP237"/>
      <c r="BQ237"/>
      <c r="BR237"/>
      <c r="BS237"/>
      <c r="BT237"/>
      <c r="BU237"/>
      <c r="BV237"/>
      <c r="BW237"/>
      <c r="BX237" s="15"/>
    </row>
    <row r="238" spans="1:76">
      <c r="A238"/>
      <c r="B238" s="542">
        <v>178</v>
      </c>
      <c r="C238" s="733"/>
      <c r="D238" s="569"/>
      <c r="E238"/>
      <c r="F238"/>
      <c r="G238"/>
      <c r="H238"/>
      <c r="I238"/>
      <c r="J238"/>
      <c r="K238"/>
      <c r="L238"/>
      <c r="M238"/>
      <c r="N238"/>
      <c r="O238"/>
      <c r="P238"/>
      <c r="Q238"/>
      <c r="R238"/>
      <c r="S238" s="15"/>
      <c r="T238"/>
      <c r="U238" s="542">
        <v>178</v>
      </c>
      <c r="V238" s="733"/>
      <c r="W238" s="569"/>
      <c r="X238"/>
      <c r="Y238"/>
      <c r="Z238"/>
      <c r="AA238"/>
      <c r="AB238"/>
      <c r="AC238"/>
      <c r="AD238"/>
      <c r="AE238"/>
      <c r="AF238"/>
      <c r="AG238"/>
      <c r="AH238"/>
      <c r="AI238"/>
      <c r="AJ238"/>
      <c r="AK238"/>
      <c r="AL238" s="15"/>
      <c r="AM238"/>
      <c r="AN238" s="542">
        <v>178</v>
      </c>
      <c r="AO238" s="733"/>
      <c r="AP238" s="569"/>
      <c r="AQ238"/>
      <c r="AR238"/>
      <c r="AS238"/>
      <c r="AT238"/>
      <c r="AU238"/>
      <c r="AV238"/>
      <c r="AW238"/>
      <c r="AX238"/>
      <c r="AY238"/>
      <c r="AZ238"/>
      <c r="BA238"/>
      <c r="BB238"/>
      <c r="BC238"/>
      <c r="BD238"/>
      <c r="BE238" s="15"/>
      <c r="BF238"/>
      <c r="BG238" s="542">
        <v>178</v>
      </c>
      <c r="BH238" s="733"/>
      <c r="BI238" s="569"/>
      <c r="BJ238"/>
      <c r="BK238"/>
      <c r="BL238"/>
      <c r="BM238"/>
      <c r="BN238"/>
      <c r="BO238"/>
      <c r="BP238"/>
      <c r="BQ238"/>
      <c r="BR238"/>
      <c r="BS238"/>
      <c r="BT238"/>
      <c r="BU238"/>
      <c r="BV238"/>
      <c r="BW238"/>
      <c r="BX238" s="15"/>
    </row>
    <row r="239" spans="1:76">
      <c r="A239"/>
      <c r="B239" s="542">
        <v>179</v>
      </c>
      <c r="C239" s="733"/>
      <c r="D239" s="569"/>
      <c r="E239"/>
      <c r="F239"/>
      <c r="G239"/>
      <c r="H239"/>
      <c r="I239"/>
      <c r="J239"/>
      <c r="K239"/>
      <c r="L239"/>
      <c r="M239"/>
      <c r="N239"/>
      <c r="O239"/>
      <c r="P239"/>
      <c r="Q239"/>
      <c r="R239"/>
      <c r="S239" s="15"/>
      <c r="T239"/>
      <c r="U239" s="542">
        <v>179</v>
      </c>
      <c r="V239" s="733"/>
      <c r="W239" s="569"/>
      <c r="X239"/>
      <c r="Y239"/>
      <c r="Z239"/>
      <c r="AA239"/>
      <c r="AB239"/>
      <c r="AC239"/>
      <c r="AD239"/>
      <c r="AE239"/>
      <c r="AF239"/>
      <c r="AG239"/>
      <c r="AH239"/>
      <c r="AI239"/>
      <c r="AJ239"/>
      <c r="AK239"/>
      <c r="AL239" s="15"/>
      <c r="AM239"/>
      <c r="AN239" s="542">
        <v>179</v>
      </c>
      <c r="AO239" s="733"/>
      <c r="AP239" s="569"/>
      <c r="AQ239"/>
      <c r="AR239"/>
      <c r="AS239"/>
      <c r="AT239"/>
      <c r="AU239"/>
      <c r="AV239"/>
      <c r="AW239"/>
      <c r="AX239"/>
      <c r="AY239"/>
      <c r="AZ239"/>
      <c r="BA239"/>
      <c r="BB239"/>
      <c r="BC239"/>
      <c r="BD239"/>
      <c r="BE239" s="15"/>
      <c r="BF239"/>
      <c r="BG239" s="542">
        <v>179</v>
      </c>
      <c r="BH239" s="733"/>
      <c r="BI239" s="569"/>
      <c r="BJ239"/>
      <c r="BK239"/>
      <c r="BL239"/>
      <c r="BM239"/>
      <c r="BN239"/>
      <c r="BO239"/>
      <c r="BP239"/>
      <c r="BQ239"/>
      <c r="BR239"/>
      <c r="BS239"/>
      <c r="BT239"/>
      <c r="BU239"/>
      <c r="BV239"/>
      <c r="BW239"/>
      <c r="BX239" s="15"/>
    </row>
    <row r="240" spans="1:76">
      <c r="A240"/>
      <c r="B240" s="542">
        <v>180</v>
      </c>
      <c r="C240" s="733"/>
      <c r="D240" s="569"/>
      <c r="E240"/>
      <c r="F240"/>
      <c r="G240"/>
      <c r="H240"/>
      <c r="I240"/>
      <c r="J240"/>
      <c r="K240"/>
      <c r="L240"/>
      <c r="M240"/>
      <c r="N240"/>
      <c r="O240"/>
      <c r="P240"/>
      <c r="Q240"/>
      <c r="R240"/>
      <c r="S240" s="15"/>
      <c r="T240"/>
      <c r="U240" s="542">
        <v>180</v>
      </c>
      <c r="V240" s="733"/>
      <c r="W240" s="569"/>
      <c r="X240"/>
      <c r="Y240"/>
      <c r="Z240"/>
      <c r="AA240"/>
      <c r="AB240"/>
      <c r="AC240"/>
      <c r="AD240"/>
      <c r="AE240"/>
      <c r="AF240"/>
      <c r="AG240"/>
      <c r="AH240"/>
      <c r="AI240"/>
      <c r="AJ240"/>
      <c r="AK240"/>
      <c r="AL240" s="15"/>
      <c r="AM240"/>
      <c r="AN240" s="542">
        <v>180</v>
      </c>
      <c r="AO240" s="733"/>
      <c r="AP240" s="569"/>
      <c r="AQ240"/>
      <c r="AR240"/>
      <c r="AS240"/>
      <c r="AT240"/>
      <c r="AU240"/>
      <c r="AV240"/>
      <c r="AW240"/>
      <c r="AX240"/>
      <c r="AY240"/>
      <c r="AZ240"/>
      <c r="BA240"/>
      <c r="BB240"/>
      <c r="BC240"/>
      <c r="BD240"/>
      <c r="BE240" s="15"/>
      <c r="BF240"/>
      <c r="BG240" s="542">
        <v>180</v>
      </c>
      <c r="BH240" s="733"/>
      <c r="BI240" s="569"/>
      <c r="BJ240"/>
      <c r="BK240"/>
      <c r="BL240"/>
      <c r="BM240"/>
      <c r="BN240"/>
      <c r="BO240"/>
      <c r="BP240"/>
      <c r="BQ240"/>
      <c r="BR240"/>
      <c r="BS240"/>
      <c r="BT240"/>
      <c r="BU240"/>
      <c r="BV240"/>
      <c r="BW240"/>
      <c r="BX240" s="15"/>
    </row>
    <row r="241" spans="1:76">
      <c r="A241"/>
      <c r="B241" s="542">
        <v>181</v>
      </c>
      <c r="C241" s="733"/>
      <c r="D241" s="569"/>
      <c r="E241"/>
      <c r="F241"/>
      <c r="G241"/>
      <c r="H241"/>
      <c r="I241"/>
      <c r="J241"/>
      <c r="K241"/>
      <c r="L241"/>
      <c r="M241"/>
      <c r="N241"/>
      <c r="O241"/>
      <c r="P241"/>
      <c r="Q241"/>
      <c r="R241"/>
      <c r="S241" s="15"/>
      <c r="T241"/>
      <c r="U241" s="542">
        <v>181</v>
      </c>
      <c r="V241" s="733"/>
      <c r="W241" s="569"/>
      <c r="X241"/>
      <c r="Y241"/>
      <c r="Z241"/>
      <c r="AA241"/>
      <c r="AB241"/>
      <c r="AC241"/>
      <c r="AD241"/>
      <c r="AE241"/>
      <c r="AF241"/>
      <c r="AG241"/>
      <c r="AH241"/>
      <c r="AI241"/>
      <c r="AJ241"/>
      <c r="AK241"/>
      <c r="AL241" s="15"/>
      <c r="AM241"/>
      <c r="AN241" s="542">
        <v>181</v>
      </c>
      <c r="AO241" s="733"/>
      <c r="AP241" s="569"/>
      <c r="AQ241"/>
      <c r="AR241"/>
      <c r="AS241"/>
      <c r="AT241"/>
      <c r="AU241"/>
      <c r="AV241"/>
      <c r="AW241"/>
      <c r="AX241"/>
      <c r="AY241"/>
      <c r="AZ241"/>
      <c r="BA241"/>
      <c r="BB241"/>
      <c r="BC241"/>
      <c r="BD241"/>
      <c r="BE241" s="15"/>
      <c r="BF241"/>
      <c r="BG241" s="542">
        <v>181</v>
      </c>
      <c r="BH241" s="733"/>
      <c r="BI241" s="569"/>
      <c r="BJ241"/>
      <c r="BK241"/>
      <c r="BL241"/>
      <c r="BM241"/>
      <c r="BN241"/>
      <c r="BO241"/>
      <c r="BP241"/>
      <c r="BQ241"/>
      <c r="BR241"/>
      <c r="BS241"/>
      <c r="BT241"/>
      <c r="BU241"/>
      <c r="BV241"/>
      <c r="BW241"/>
      <c r="BX241" s="15"/>
    </row>
    <row r="242" spans="1:76">
      <c r="A242"/>
      <c r="B242" s="542">
        <v>182</v>
      </c>
      <c r="C242" s="733"/>
      <c r="D242" s="569"/>
      <c r="E242"/>
      <c r="F242"/>
      <c r="G242"/>
      <c r="H242"/>
      <c r="I242"/>
      <c r="J242"/>
      <c r="K242"/>
      <c r="L242"/>
      <c r="M242"/>
      <c r="N242"/>
      <c r="O242"/>
      <c r="P242"/>
      <c r="Q242"/>
      <c r="R242"/>
      <c r="S242" s="15"/>
      <c r="T242"/>
      <c r="U242" s="542">
        <v>182</v>
      </c>
      <c r="V242" s="733"/>
      <c r="W242" s="569"/>
      <c r="X242"/>
      <c r="Y242"/>
      <c r="Z242"/>
      <c r="AA242"/>
      <c r="AB242"/>
      <c r="AC242"/>
      <c r="AD242"/>
      <c r="AE242"/>
      <c r="AF242"/>
      <c r="AG242"/>
      <c r="AH242"/>
      <c r="AI242"/>
      <c r="AJ242"/>
      <c r="AK242"/>
      <c r="AL242" s="15"/>
      <c r="AM242"/>
      <c r="AN242" s="542">
        <v>182</v>
      </c>
      <c r="AO242" s="733"/>
      <c r="AP242" s="569"/>
      <c r="AQ242"/>
      <c r="AR242"/>
      <c r="AS242"/>
      <c r="AT242"/>
      <c r="AU242"/>
      <c r="AV242"/>
      <c r="AW242"/>
      <c r="AX242"/>
      <c r="AY242"/>
      <c r="AZ242"/>
      <c r="BA242"/>
      <c r="BB242"/>
      <c r="BC242"/>
      <c r="BD242"/>
      <c r="BE242" s="15"/>
      <c r="BF242"/>
      <c r="BG242" s="542">
        <v>182</v>
      </c>
      <c r="BH242" s="733"/>
      <c r="BI242" s="569"/>
      <c r="BJ242"/>
      <c r="BK242"/>
      <c r="BL242"/>
      <c r="BM242"/>
      <c r="BN242"/>
      <c r="BO242"/>
      <c r="BP242"/>
      <c r="BQ242"/>
      <c r="BR242"/>
      <c r="BS242"/>
      <c r="BT242"/>
      <c r="BU242"/>
      <c r="BV242"/>
      <c r="BW242"/>
      <c r="BX242" s="15"/>
    </row>
    <row r="243" spans="1:76">
      <c r="A243"/>
      <c r="B243" s="542">
        <v>183</v>
      </c>
      <c r="C243" s="733"/>
      <c r="D243" s="569"/>
      <c r="E243"/>
      <c r="F243"/>
      <c r="G243"/>
      <c r="H243"/>
      <c r="I243"/>
      <c r="J243"/>
      <c r="K243"/>
      <c r="L243"/>
      <c r="M243"/>
      <c r="N243"/>
      <c r="O243"/>
      <c r="P243"/>
      <c r="Q243"/>
      <c r="R243"/>
      <c r="S243" s="15"/>
      <c r="T243"/>
      <c r="U243" s="542">
        <v>183</v>
      </c>
      <c r="V243" s="733"/>
      <c r="W243" s="569"/>
      <c r="X243"/>
      <c r="Y243"/>
      <c r="Z243"/>
      <c r="AA243"/>
      <c r="AB243"/>
      <c r="AC243"/>
      <c r="AD243"/>
      <c r="AE243"/>
      <c r="AF243"/>
      <c r="AG243"/>
      <c r="AH243"/>
      <c r="AI243"/>
      <c r="AJ243"/>
      <c r="AK243"/>
      <c r="AL243" s="15"/>
      <c r="AM243"/>
      <c r="AN243" s="542">
        <v>183</v>
      </c>
      <c r="AO243" s="733"/>
      <c r="AP243" s="569"/>
      <c r="AQ243"/>
      <c r="AR243"/>
      <c r="AS243"/>
      <c r="AT243"/>
      <c r="AU243"/>
      <c r="AV243"/>
      <c r="AW243"/>
      <c r="AX243"/>
      <c r="AY243"/>
      <c r="AZ243"/>
      <c r="BA243"/>
      <c r="BB243"/>
      <c r="BC243"/>
      <c r="BD243"/>
      <c r="BE243" s="15"/>
      <c r="BF243"/>
      <c r="BG243" s="542">
        <v>183</v>
      </c>
      <c r="BH243" s="733"/>
      <c r="BI243" s="569"/>
      <c r="BJ243"/>
      <c r="BK243"/>
      <c r="BL243"/>
      <c r="BM243"/>
      <c r="BN243"/>
      <c r="BO243"/>
      <c r="BP243"/>
      <c r="BQ243"/>
      <c r="BR243"/>
      <c r="BS243"/>
      <c r="BT243"/>
      <c r="BU243"/>
      <c r="BV243"/>
      <c r="BW243"/>
      <c r="BX243" s="15"/>
    </row>
    <row r="244" spans="1:76">
      <c r="A244"/>
      <c r="B244" s="542">
        <v>184</v>
      </c>
      <c r="C244" s="733"/>
      <c r="D244" s="569"/>
      <c r="E244"/>
      <c r="F244"/>
      <c r="G244"/>
      <c r="H244"/>
      <c r="I244"/>
      <c r="J244"/>
      <c r="K244"/>
      <c r="L244"/>
      <c r="M244"/>
      <c r="N244"/>
      <c r="O244"/>
      <c r="P244"/>
      <c r="Q244"/>
      <c r="R244"/>
      <c r="S244" s="15"/>
      <c r="T244"/>
      <c r="U244" s="542">
        <v>184</v>
      </c>
      <c r="V244" s="733"/>
      <c r="W244" s="569"/>
      <c r="X244"/>
      <c r="Y244"/>
      <c r="Z244"/>
      <c r="AA244"/>
      <c r="AB244"/>
      <c r="AC244"/>
      <c r="AD244"/>
      <c r="AE244"/>
      <c r="AF244"/>
      <c r="AG244"/>
      <c r="AH244"/>
      <c r="AI244"/>
      <c r="AJ244"/>
      <c r="AK244"/>
      <c r="AL244" s="15"/>
      <c r="AM244"/>
      <c r="AN244" s="542">
        <v>184</v>
      </c>
      <c r="AO244" s="733"/>
      <c r="AP244" s="569"/>
      <c r="AQ244"/>
      <c r="AR244"/>
      <c r="AS244"/>
      <c r="AT244"/>
      <c r="AU244"/>
      <c r="AV244"/>
      <c r="AW244"/>
      <c r="AX244"/>
      <c r="AY244"/>
      <c r="AZ244"/>
      <c r="BA244"/>
      <c r="BB244"/>
      <c r="BC244"/>
      <c r="BD244"/>
      <c r="BE244" s="15"/>
      <c r="BF244"/>
      <c r="BG244" s="542">
        <v>184</v>
      </c>
      <c r="BH244" s="733"/>
      <c r="BI244" s="569"/>
      <c r="BJ244"/>
      <c r="BK244"/>
      <c r="BL244"/>
      <c r="BM244"/>
      <c r="BN244"/>
      <c r="BO244"/>
      <c r="BP244"/>
      <c r="BQ244"/>
      <c r="BR244"/>
      <c r="BS244"/>
      <c r="BT244"/>
      <c r="BU244"/>
      <c r="BV244"/>
      <c r="BW244"/>
      <c r="BX244" s="15"/>
    </row>
    <row r="245" spans="1:76">
      <c r="A245"/>
      <c r="B245" s="542">
        <v>185</v>
      </c>
      <c r="C245" s="733"/>
      <c r="D245" s="569"/>
      <c r="E245"/>
      <c r="F245"/>
      <c r="G245"/>
      <c r="H245"/>
      <c r="I245"/>
      <c r="J245"/>
      <c r="K245"/>
      <c r="L245"/>
      <c r="M245"/>
      <c r="N245"/>
      <c r="O245"/>
      <c r="P245"/>
      <c r="Q245"/>
      <c r="R245"/>
      <c r="S245" s="15"/>
      <c r="T245"/>
      <c r="U245" s="542">
        <v>185</v>
      </c>
      <c r="V245" s="733"/>
      <c r="W245" s="569"/>
      <c r="X245"/>
      <c r="Y245"/>
      <c r="Z245"/>
      <c r="AA245"/>
      <c r="AB245"/>
      <c r="AC245"/>
      <c r="AD245"/>
      <c r="AE245"/>
      <c r="AF245"/>
      <c r="AG245"/>
      <c r="AH245"/>
      <c r="AI245"/>
      <c r="AJ245"/>
      <c r="AK245"/>
      <c r="AL245" s="15"/>
      <c r="AM245"/>
      <c r="AN245" s="542">
        <v>185</v>
      </c>
      <c r="AO245" s="733"/>
      <c r="AP245" s="569"/>
      <c r="AQ245"/>
      <c r="AR245"/>
      <c r="AS245"/>
      <c r="AT245"/>
      <c r="AU245"/>
      <c r="AV245"/>
      <c r="AW245"/>
      <c r="AX245"/>
      <c r="AY245"/>
      <c r="AZ245"/>
      <c r="BA245"/>
      <c r="BB245"/>
      <c r="BC245"/>
      <c r="BD245"/>
      <c r="BE245" s="15"/>
      <c r="BF245"/>
      <c r="BG245" s="542">
        <v>185</v>
      </c>
      <c r="BH245" s="733"/>
      <c r="BI245" s="569"/>
      <c r="BJ245"/>
      <c r="BK245"/>
      <c r="BL245"/>
      <c r="BM245"/>
      <c r="BN245"/>
      <c r="BO245"/>
      <c r="BP245"/>
      <c r="BQ245"/>
      <c r="BR245"/>
      <c r="BS245"/>
      <c r="BT245"/>
      <c r="BU245"/>
      <c r="BV245"/>
      <c r="BW245"/>
      <c r="BX245" s="15"/>
    </row>
    <row r="246" spans="1:76">
      <c r="A246"/>
      <c r="B246" s="542">
        <v>186</v>
      </c>
      <c r="C246" s="733"/>
      <c r="D246" s="569"/>
      <c r="E246"/>
      <c r="F246"/>
      <c r="G246"/>
      <c r="H246"/>
      <c r="I246"/>
      <c r="J246"/>
      <c r="K246"/>
      <c r="L246"/>
      <c r="M246"/>
      <c r="N246"/>
      <c r="O246"/>
      <c r="P246"/>
      <c r="Q246"/>
      <c r="R246"/>
      <c r="S246" s="15"/>
      <c r="T246"/>
      <c r="U246" s="542">
        <v>186</v>
      </c>
      <c r="V246" s="733"/>
      <c r="W246" s="569"/>
      <c r="X246"/>
      <c r="Y246"/>
      <c r="Z246"/>
      <c r="AA246"/>
      <c r="AB246"/>
      <c r="AC246"/>
      <c r="AD246"/>
      <c r="AE246"/>
      <c r="AF246"/>
      <c r="AG246"/>
      <c r="AH246"/>
      <c r="AI246"/>
      <c r="AJ246"/>
      <c r="AK246"/>
      <c r="AL246" s="15"/>
      <c r="AM246"/>
      <c r="AN246" s="542">
        <v>186</v>
      </c>
      <c r="AO246" s="733"/>
      <c r="AP246" s="569"/>
      <c r="AQ246"/>
      <c r="AR246"/>
      <c r="AS246"/>
      <c r="AT246"/>
      <c r="AU246"/>
      <c r="AV246"/>
      <c r="AW246"/>
      <c r="AX246"/>
      <c r="AY246"/>
      <c r="AZ246"/>
      <c r="BA246"/>
      <c r="BB246"/>
      <c r="BC246"/>
      <c r="BD246"/>
      <c r="BE246" s="15"/>
      <c r="BF246"/>
      <c r="BG246" s="542">
        <v>186</v>
      </c>
      <c r="BH246" s="733"/>
      <c r="BI246" s="569"/>
      <c r="BJ246"/>
      <c r="BK246"/>
      <c r="BL246"/>
      <c r="BM246"/>
      <c r="BN246"/>
      <c r="BO246"/>
      <c r="BP246"/>
      <c r="BQ246"/>
      <c r="BR246"/>
      <c r="BS246"/>
      <c r="BT246"/>
      <c r="BU246"/>
      <c r="BV246"/>
      <c r="BW246"/>
      <c r="BX246" s="15"/>
    </row>
    <row r="247" spans="1:76">
      <c r="A247"/>
      <c r="B247" s="542">
        <v>187</v>
      </c>
      <c r="C247" s="733"/>
      <c r="D247" s="569"/>
      <c r="E247"/>
      <c r="F247"/>
      <c r="G247"/>
      <c r="H247"/>
      <c r="I247"/>
      <c r="J247"/>
      <c r="K247"/>
      <c r="L247"/>
      <c r="M247"/>
      <c r="N247"/>
      <c r="O247"/>
      <c r="P247"/>
      <c r="Q247"/>
      <c r="R247"/>
      <c r="S247" s="15"/>
      <c r="T247"/>
      <c r="U247" s="542">
        <v>187</v>
      </c>
      <c r="V247" s="733"/>
      <c r="W247" s="569"/>
      <c r="X247"/>
      <c r="Y247"/>
      <c r="Z247"/>
      <c r="AA247"/>
      <c r="AB247"/>
      <c r="AC247"/>
      <c r="AD247"/>
      <c r="AE247"/>
      <c r="AF247"/>
      <c r="AG247"/>
      <c r="AH247"/>
      <c r="AI247"/>
      <c r="AJ247"/>
      <c r="AK247"/>
      <c r="AL247" s="15"/>
      <c r="AM247"/>
      <c r="AN247" s="542">
        <v>187</v>
      </c>
      <c r="AO247" s="733"/>
      <c r="AP247" s="569"/>
      <c r="AQ247"/>
      <c r="AR247"/>
      <c r="AS247"/>
      <c r="AT247"/>
      <c r="AU247"/>
      <c r="AV247"/>
      <c r="AW247"/>
      <c r="AX247"/>
      <c r="AY247"/>
      <c r="AZ247"/>
      <c r="BA247"/>
      <c r="BB247"/>
      <c r="BC247"/>
      <c r="BD247"/>
      <c r="BE247" s="15"/>
      <c r="BF247"/>
      <c r="BG247" s="542">
        <v>187</v>
      </c>
      <c r="BH247" s="733"/>
      <c r="BI247" s="569"/>
      <c r="BJ247"/>
      <c r="BK247"/>
      <c r="BL247"/>
      <c r="BM247"/>
      <c r="BN247"/>
      <c r="BO247"/>
      <c r="BP247"/>
      <c r="BQ247"/>
      <c r="BR247"/>
      <c r="BS247"/>
      <c r="BT247"/>
      <c r="BU247"/>
      <c r="BV247"/>
      <c r="BW247"/>
      <c r="BX247" s="15"/>
    </row>
    <row r="248" spans="1:76">
      <c r="A248"/>
      <c r="B248" s="542">
        <v>188</v>
      </c>
      <c r="C248" s="733"/>
      <c r="D248" s="569"/>
      <c r="E248"/>
      <c r="F248"/>
      <c r="G248"/>
      <c r="H248"/>
      <c r="I248"/>
      <c r="J248"/>
      <c r="K248"/>
      <c r="L248"/>
      <c r="M248"/>
      <c r="N248"/>
      <c r="O248"/>
      <c r="P248"/>
      <c r="Q248"/>
      <c r="R248"/>
      <c r="S248" s="15"/>
      <c r="T248"/>
      <c r="U248" s="542">
        <v>188</v>
      </c>
      <c r="V248" s="733"/>
      <c r="W248" s="569"/>
      <c r="X248"/>
      <c r="Y248"/>
      <c r="Z248"/>
      <c r="AA248"/>
      <c r="AB248"/>
      <c r="AC248"/>
      <c r="AD248"/>
      <c r="AE248"/>
      <c r="AF248"/>
      <c r="AG248"/>
      <c r="AH248"/>
      <c r="AI248"/>
      <c r="AJ248"/>
      <c r="AK248"/>
      <c r="AL248" s="15"/>
      <c r="AM248"/>
      <c r="AN248" s="542">
        <v>188</v>
      </c>
      <c r="AO248" s="733"/>
      <c r="AP248" s="569"/>
      <c r="AQ248"/>
      <c r="AR248"/>
      <c r="AS248"/>
      <c r="AT248"/>
      <c r="AU248"/>
      <c r="AV248"/>
      <c r="AW248"/>
      <c r="AX248"/>
      <c r="AY248"/>
      <c r="AZ248"/>
      <c r="BA248"/>
      <c r="BB248"/>
      <c r="BC248"/>
      <c r="BD248"/>
      <c r="BE248" s="15"/>
      <c r="BF248"/>
      <c r="BG248" s="542">
        <v>188</v>
      </c>
      <c r="BH248" s="733"/>
      <c r="BI248" s="569"/>
      <c r="BJ248"/>
      <c r="BK248"/>
      <c r="BL248"/>
      <c r="BM248"/>
      <c r="BN248"/>
      <c r="BO248"/>
      <c r="BP248"/>
      <c r="BQ248"/>
      <c r="BR248"/>
      <c r="BS248"/>
      <c r="BT248"/>
      <c r="BU248"/>
      <c r="BV248"/>
      <c r="BW248"/>
      <c r="BX248" s="15"/>
    </row>
    <row r="249" spans="1:76">
      <c r="A249"/>
      <c r="B249" s="542">
        <v>189</v>
      </c>
      <c r="C249" s="733"/>
      <c r="D249" s="569"/>
      <c r="E249"/>
      <c r="F249"/>
      <c r="G249"/>
      <c r="H249"/>
      <c r="I249"/>
      <c r="J249"/>
      <c r="K249"/>
      <c r="L249"/>
      <c r="M249"/>
      <c r="N249"/>
      <c r="O249"/>
      <c r="P249"/>
      <c r="Q249"/>
      <c r="R249"/>
      <c r="S249" s="15"/>
      <c r="T249"/>
      <c r="U249" s="542">
        <v>189</v>
      </c>
      <c r="V249" s="733"/>
      <c r="W249" s="569"/>
      <c r="X249"/>
      <c r="Y249"/>
      <c r="Z249"/>
      <c r="AA249"/>
      <c r="AB249"/>
      <c r="AC249"/>
      <c r="AD249"/>
      <c r="AE249"/>
      <c r="AF249"/>
      <c r="AG249"/>
      <c r="AH249"/>
      <c r="AI249"/>
      <c r="AJ249"/>
      <c r="AK249"/>
      <c r="AL249" s="15"/>
      <c r="AM249"/>
      <c r="AN249" s="542">
        <v>189</v>
      </c>
      <c r="AO249" s="733"/>
      <c r="AP249" s="569"/>
      <c r="AQ249"/>
      <c r="AR249"/>
      <c r="AS249"/>
      <c r="AT249"/>
      <c r="AU249"/>
      <c r="AV249"/>
      <c r="AW249"/>
      <c r="AX249"/>
      <c r="AY249"/>
      <c r="AZ249"/>
      <c r="BA249"/>
      <c r="BB249"/>
      <c r="BC249"/>
      <c r="BD249"/>
      <c r="BE249" s="15"/>
      <c r="BF249"/>
      <c r="BG249" s="542">
        <v>189</v>
      </c>
      <c r="BH249" s="733"/>
      <c r="BI249" s="569"/>
      <c r="BJ249"/>
      <c r="BK249"/>
      <c r="BL249"/>
      <c r="BM249"/>
      <c r="BN249"/>
      <c r="BO249"/>
      <c r="BP249"/>
      <c r="BQ249"/>
      <c r="BR249"/>
      <c r="BS249"/>
      <c r="BT249"/>
      <c r="BU249"/>
      <c r="BV249"/>
      <c r="BW249"/>
      <c r="BX249" s="15"/>
    </row>
    <row r="250" spans="1:76">
      <c r="A250"/>
      <c r="B250" s="542">
        <v>190</v>
      </c>
      <c r="C250" s="733"/>
      <c r="D250" s="569"/>
      <c r="E250"/>
      <c r="F250"/>
      <c r="G250"/>
      <c r="H250"/>
      <c r="I250"/>
      <c r="J250"/>
      <c r="K250"/>
      <c r="L250"/>
      <c r="M250"/>
      <c r="N250"/>
      <c r="O250"/>
      <c r="P250"/>
      <c r="Q250"/>
      <c r="R250"/>
      <c r="S250" s="15"/>
      <c r="T250"/>
      <c r="U250" s="542">
        <v>190</v>
      </c>
      <c r="V250" s="733"/>
      <c r="W250" s="569"/>
      <c r="X250"/>
      <c r="Y250"/>
      <c r="Z250"/>
      <c r="AA250"/>
      <c r="AB250"/>
      <c r="AC250"/>
      <c r="AD250"/>
      <c r="AE250"/>
      <c r="AF250"/>
      <c r="AG250"/>
      <c r="AH250"/>
      <c r="AI250"/>
      <c r="AJ250"/>
      <c r="AK250"/>
      <c r="AL250" s="15"/>
      <c r="AM250"/>
      <c r="AN250" s="542">
        <v>190</v>
      </c>
      <c r="AO250" s="733"/>
      <c r="AP250" s="569"/>
      <c r="AQ250"/>
      <c r="AR250"/>
      <c r="AS250"/>
      <c r="AT250"/>
      <c r="AU250"/>
      <c r="AV250"/>
      <c r="AW250"/>
      <c r="AX250"/>
      <c r="AY250"/>
      <c r="AZ250"/>
      <c r="BA250"/>
      <c r="BB250"/>
      <c r="BC250"/>
      <c r="BD250"/>
      <c r="BE250" s="15"/>
      <c r="BF250"/>
      <c r="BG250" s="542">
        <v>190</v>
      </c>
      <c r="BH250" s="733"/>
      <c r="BI250" s="569"/>
      <c r="BJ250"/>
      <c r="BK250"/>
      <c r="BL250"/>
      <c r="BM250"/>
      <c r="BN250"/>
      <c r="BO250"/>
      <c r="BP250"/>
      <c r="BQ250"/>
      <c r="BR250"/>
      <c r="BS250"/>
      <c r="BT250"/>
      <c r="BU250"/>
      <c r="BV250"/>
      <c r="BW250"/>
      <c r="BX250" s="15"/>
    </row>
    <row r="251" spans="1:76">
      <c r="A251"/>
      <c r="B251" s="542">
        <v>191</v>
      </c>
      <c r="C251" s="733"/>
      <c r="D251" s="569"/>
      <c r="E251"/>
      <c r="F251"/>
      <c r="G251"/>
      <c r="H251"/>
      <c r="I251"/>
      <c r="J251"/>
      <c r="K251"/>
      <c r="L251"/>
      <c r="M251"/>
      <c r="N251"/>
      <c r="O251"/>
      <c r="P251"/>
      <c r="Q251"/>
      <c r="R251"/>
      <c r="S251" s="15"/>
      <c r="T251"/>
      <c r="U251" s="542">
        <v>191</v>
      </c>
      <c r="V251" s="733"/>
      <c r="W251" s="569"/>
      <c r="X251"/>
      <c r="Y251"/>
      <c r="Z251"/>
      <c r="AA251"/>
      <c r="AB251"/>
      <c r="AC251"/>
      <c r="AD251"/>
      <c r="AE251"/>
      <c r="AF251"/>
      <c r="AG251"/>
      <c r="AH251"/>
      <c r="AI251"/>
      <c r="AJ251"/>
      <c r="AK251"/>
      <c r="AL251" s="15"/>
      <c r="AM251"/>
      <c r="AN251" s="542">
        <v>191</v>
      </c>
      <c r="AO251" s="733"/>
      <c r="AP251" s="569"/>
      <c r="AQ251"/>
      <c r="AR251"/>
      <c r="AS251"/>
      <c r="AT251"/>
      <c r="AU251"/>
      <c r="AV251"/>
      <c r="AW251"/>
      <c r="AX251"/>
      <c r="AY251"/>
      <c r="AZ251"/>
      <c r="BA251"/>
      <c r="BB251"/>
      <c r="BC251"/>
      <c r="BD251"/>
      <c r="BE251" s="15"/>
      <c r="BF251"/>
      <c r="BG251" s="542">
        <v>191</v>
      </c>
      <c r="BH251" s="733"/>
      <c r="BI251" s="569"/>
      <c r="BJ251"/>
      <c r="BK251"/>
      <c r="BL251"/>
      <c r="BM251"/>
      <c r="BN251"/>
      <c r="BO251"/>
      <c r="BP251"/>
      <c r="BQ251"/>
      <c r="BR251"/>
      <c r="BS251"/>
      <c r="BT251"/>
      <c r="BU251"/>
      <c r="BV251"/>
      <c r="BW251"/>
      <c r="BX251" s="15"/>
    </row>
    <row r="252" spans="1:76">
      <c r="A252"/>
      <c r="B252" s="542">
        <v>192</v>
      </c>
      <c r="C252" s="733"/>
      <c r="D252" s="569"/>
      <c r="E252"/>
      <c r="F252"/>
      <c r="G252"/>
      <c r="H252"/>
      <c r="I252"/>
      <c r="J252"/>
      <c r="K252"/>
      <c r="L252"/>
      <c r="M252"/>
      <c r="N252"/>
      <c r="O252"/>
      <c r="P252"/>
      <c r="Q252"/>
      <c r="R252"/>
      <c r="S252" s="15"/>
      <c r="T252"/>
      <c r="U252" s="542">
        <v>192</v>
      </c>
      <c r="V252" s="733"/>
      <c r="W252" s="569"/>
      <c r="X252"/>
      <c r="Y252"/>
      <c r="Z252"/>
      <c r="AA252"/>
      <c r="AB252"/>
      <c r="AC252"/>
      <c r="AD252"/>
      <c r="AE252"/>
      <c r="AF252"/>
      <c r="AG252"/>
      <c r="AH252"/>
      <c r="AI252"/>
      <c r="AJ252"/>
      <c r="AK252"/>
      <c r="AL252" s="15"/>
      <c r="AM252"/>
      <c r="AN252" s="542">
        <v>192</v>
      </c>
      <c r="AO252" s="733"/>
      <c r="AP252" s="569"/>
      <c r="AQ252"/>
      <c r="AR252"/>
      <c r="AS252"/>
      <c r="AT252"/>
      <c r="AU252"/>
      <c r="AV252"/>
      <c r="AW252"/>
      <c r="AX252"/>
      <c r="AY252"/>
      <c r="AZ252"/>
      <c r="BA252"/>
      <c r="BB252"/>
      <c r="BC252"/>
      <c r="BD252"/>
      <c r="BE252" s="15"/>
      <c r="BF252"/>
      <c r="BG252" s="542">
        <v>192</v>
      </c>
      <c r="BH252" s="733"/>
      <c r="BI252" s="569"/>
      <c r="BJ252"/>
      <c r="BK252"/>
      <c r="BL252"/>
      <c r="BM252"/>
      <c r="BN252"/>
      <c r="BO252"/>
      <c r="BP252"/>
      <c r="BQ252"/>
      <c r="BR252"/>
      <c r="BS252"/>
      <c r="BT252"/>
      <c r="BU252"/>
      <c r="BV252"/>
      <c r="BW252"/>
      <c r="BX252" s="15"/>
    </row>
    <row r="253" spans="1:76">
      <c r="A253"/>
      <c r="B253" s="542">
        <v>193</v>
      </c>
      <c r="C253" s="733"/>
      <c r="D253" s="569"/>
      <c r="E253"/>
      <c r="F253"/>
      <c r="G253"/>
      <c r="H253"/>
      <c r="I253"/>
      <c r="J253"/>
      <c r="K253"/>
      <c r="L253"/>
      <c r="M253"/>
      <c r="N253"/>
      <c r="O253"/>
      <c r="P253"/>
      <c r="Q253"/>
      <c r="R253"/>
      <c r="S253" s="15"/>
      <c r="T253"/>
      <c r="U253" s="542">
        <v>193</v>
      </c>
      <c r="V253" s="733"/>
      <c r="W253" s="569"/>
      <c r="X253"/>
      <c r="Y253"/>
      <c r="Z253"/>
      <c r="AA253"/>
      <c r="AB253"/>
      <c r="AC253"/>
      <c r="AD253"/>
      <c r="AE253"/>
      <c r="AF253"/>
      <c r="AG253"/>
      <c r="AH253"/>
      <c r="AI253"/>
      <c r="AJ253"/>
      <c r="AK253"/>
      <c r="AL253" s="15"/>
      <c r="AM253"/>
      <c r="AN253" s="542">
        <v>193</v>
      </c>
      <c r="AO253" s="733"/>
      <c r="AP253" s="569"/>
      <c r="AQ253"/>
      <c r="AR253"/>
      <c r="AS253"/>
      <c r="AT253"/>
      <c r="AU253"/>
      <c r="AV253"/>
      <c r="AW253"/>
      <c r="AX253"/>
      <c r="AY253"/>
      <c r="AZ253"/>
      <c r="BA253"/>
      <c r="BB253"/>
      <c r="BC253"/>
      <c r="BD253"/>
      <c r="BE253" s="15"/>
      <c r="BF253"/>
      <c r="BG253" s="542">
        <v>193</v>
      </c>
      <c r="BH253" s="733"/>
      <c r="BI253" s="569"/>
      <c r="BJ253"/>
      <c r="BK253"/>
      <c r="BL253"/>
      <c r="BM253"/>
      <c r="BN253"/>
      <c r="BO253"/>
      <c r="BP253"/>
      <c r="BQ253"/>
      <c r="BR253"/>
      <c r="BS253"/>
      <c r="BT253"/>
      <c r="BU253"/>
      <c r="BV253"/>
      <c r="BW253"/>
      <c r="BX253" s="15"/>
    </row>
    <row r="254" spans="1:76">
      <c r="A254"/>
      <c r="B254" s="542">
        <v>194</v>
      </c>
      <c r="C254" s="733"/>
      <c r="D254" s="569"/>
      <c r="E254"/>
      <c r="F254"/>
      <c r="G254"/>
      <c r="H254"/>
      <c r="I254"/>
      <c r="J254"/>
      <c r="K254"/>
      <c r="L254"/>
      <c r="M254"/>
      <c r="N254"/>
      <c r="O254"/>
      <c r="P254"/>
      <c r="Q254"/>
      <c r="R254"/>
      <c r="S254" s="15"/>
      <c r="T254"/>
      <c r="U254" s="542">
        <v>194</v>
      </c>
      <c r="V254" s="733"/>
      <c r="W254" s="569"/>
      <c r="X254"/>
      <c r="Y254"/>
      <c r="Z254"/>
      <c r="AA254"/>
      <c r="AB254"/>
      <c r="AC254"/>
      <c r="AD254"/>
      <c r="AE254"/>
      <c r="AF254"/>
      <c r="AG254"/>
      <c r="AH254"/>
      <c r="AI254"/>
      <c r="AJ254"/>
      <c r="AK254"/>
      <c r="AL254" s="15"/>
      <c r="AM254"/>
      <c r="AN254" s="542">
        <v>194</v>
      </c>
      <c r="AO254" s="733"/>
      <c r="AP254" s="569"/>
      <c r="AQ254"/>
      <c r="AR254"/>
      <c r="AS254"/>
      <c r="AT254"/>
      <c r="AU254"/>
      <c r="AV254"/>
      <c r="AW254"/>
      <c r="AX254"/>
      <c r="AY254"/>
      <c r="AZ254"/>
      <c r="BA254"/>
      <c r="BB254"/>
      <c r="BC254"/>
      <c r="BD254"/>
      <c r="BE254" s="15"/>
      <c r="BF254"/>
      <c r="BG254" s="542">
        <v>194</v>
      </c>
      <c r="BH254" s="733"/>
      <c r="BI254" s="569"/>
      <c r="BJ254"/>
      <c r="BK254"/>
      <c r="BL254"/>
      <c r="BM254"/>
      <c r="BN254"/>
      <c r="BO254"/>
      <c r="BP254"/>
      <c r="BQ254"/>
      <c r="BR254"/>
      <c r="BS254"/>
      <c r="BT254"/>
      <c r="BU254"/>
      <c r="BV254"/>
      <c r="BW254"/>
      <c r="BX254" s="15"/>
    </row>
    <row r="255" spans="1:76">
      <c r="A255"/>
      <c r="B255" s="542">
        <v>195</v>
      </c>
      <c r="C255" s="733"/>
      <c r="D255" s="569"/>
      <c r="E255"/>
      <c r="F255"/>
      <c r="G255"/>
      <c r="H255"/>
      <c r="I255"/>
      <c r="J255"/>
      <c r="K255"/>
      <c r="L255"/>
      <c r="M255"/>
      <c r="N255"/>
      <c r="O255"/>
      <c r="P255"/>
      <c r="Q255"/>
      <c r="R255"/>
      <c r="S255" s="15"/>
      <c r="T255"/>
      <c r="U255" s="542">
        <v>195</v>
      </c>
      <c r="V255" s="733"/>
      <c r="W255" s="569"/>
      <c r="X255"/>
      <c r="Y255"/>
      <c r="Z255"/>
      <c r="AA255"/>
      <c r="AB255"/>
      <c r="AC255"/>
      <c r="AD255"/>
      <c r="AE255"/>
      <c r="AF255"/>
      <c r="AG255"/>
      <c r="AH255"/>
      <c r="AI255"/>
      <c r="AJ255"/>
      <c r="AK255"/>
      <c r="AL255" s="15"/>
      <c r="AM255"/>
      <c r="AN255" s="542">
        <v>195</v>
      </c>
      <c r="AO255" s="733"/>
      <c r="AP255" s="569"/>
      <c r="AQ255"/>
      <c r="AR255"/>
      <c r="AS255"/>
      <c r="AT255"/>
      <c r="AU255"/>
      <c r="AV255"/>
      <c r="AW255"/>
      <c r="AX255"/>
      <c r="AY255"/>
      <c r="AZ255"/>
      <c r="BA255"/>
      <c r="BB255"/>
      <c r="BC255"/>
      <c r="BD255"/>
      <c r="BE255" s="15"/>
      <c r="BF255"/>
      <c r="BG255" s="542">
        <v>195</v>
      </c>
      <c r="BH255" s="733"/>
      <c r="BI255" s="569"/>
      <c r="BJ255"/>
      <c r="BK255"/>
      <c r="BL255"/>
      <c r="BM255"/>
      <c r="BN255"/>
      <c r="BO255"/>
      <c r="BP255"/>
      <c r="BQ255"/>
      <c r="BR255"/>
      <c r="BS255"/>
      <c r="BT255"/>
      <c r="BU255"/>
      <c r="BV255"/>
      <c r="BW255"/>
      <c r="BX255" s="15"/>
    </row>
    <row r="256" spans="1:76">
      <c r="A256"/>
      <c r="B256" s="542">
        <v>196</v>
      </c>
      <c r="C256" s="733"/>
      <c r="D256" s="569"/>
      <c r="E256"/>
      <c r="F256"/>
      <c r="G256"/>
      <c r="H256"/>
      <c r="I256"/>
      <c r="J256"/>
      <c r="K256"/>
      <c r="L256"/>
      <c r="M256"/>
      <c r="N256"/>
      <c r="O256"/>
      <c r="P256"/>
      <c r="Q256"/>
      <c r="R256"/>
      <c r="S256" s="15"/>
      <c r="T256"/>
      <c r="U256" s="542">
        <v>196</v>
      </c>
      <c r="V256" s="733"/>
      <c r="W256" s="569"/>
      <c r="X256"/>
      <c r="Y256"/>
      <c r="Z256"/>
      <c r="AA256"/>
      <c r="AB256"/>
      <c r="AC256"/>
      <c r="AD256"/>
      <c r="AE256"/>
      <c r="AF256"/>
      <c r="AG256"/>
      <c r="AH256"/>
      <c r="AI256"/>
      <c r="AJ256"/>
      <c r="AK256"/>
      <c r="AL256" s="15"/>
      <c r="AM256"/>
      <c r="AN256" s="542">
        <v>196</v>
      </c>
      <c r="AO256" s="733"/>
      <c r="AP256" s="569"/>
      <c r="AQ256"/>
      <c r="AR256"/>
      <c r="AS256"/>
      <c r="AT256"/>
      <c r="AU256"/>
      <c r="AV256"/>
      <c r="AW256"/>
      <c r="AX256"/>
      <c r="AY256"/>
      <c r="AZ256"/>
      <c r="BA256"/>
      <c r="BB256"/>
      <c r="BC256"/>
      <c r="BD256"/>
      <c r="BE256" s="15"/>
      <c r="BF256"/>
      <c r="BG256" s="542">
        <v>196</v>
      </c>
      <c r="BH256" s="733"/>
      <c r="BI256" s="569"/>
      <c r="BJ256"/>
      <c r="BK256"/>
      <c r="BL256"/>
      <c r="BM256"/>
      <c r="BN256"/>
      <c r="BO256"/>
      <c r="BP256"/>
      <c r="BQ256"/>
      <c r="BR256"/>
      <c r="BS256"/>
      <c r="BT256"/>
      <c r="BU256"/>
      <c r="BV256"/>
      <c r="BW256"/>
      <c r="BX256" s="15"/>
    </row>
    <row r="257" spans="1:76">
      <c r="A257"/>
      <c r="B257" s="542">
        <v>197</v>
      </c>
      <c r="C257" s="733"/>
      <c r="D257" s="569"/>
      <c r="E257"/>
      <c r="F257"/>
      <c r="G257"/>
      <c r="H257"/>
      <c r="I257"/>
      <c r="J257"/>
      <c r="K257"/>
      <c r="L257"/>
      <c r="M257"/>
      <c r="N257"/>
      <c r="O257"/>
      <c r="P257"/>
      <c r="Q257"/>
      <c r="R257"/>
      <c r="S257" s="15"/>
      <c r="T257"/>
      <c r="U257" s="542">
        <v>197</v>
      </c>
      <c r="V257" s="733"/>
      <c r="W257" s="569"/>
      <c r="X257"/>
      <c r="Y257"/>
      <c r="Z257"/>
      <c r="AA257"/>
      <c r="AB257"/>
      <c r="AC257"/>
      <c r="AD257"/>
      <c r="AE257"/>
      <c r="AF257"/>
      <c r="AG257"/>
      <c r="AH257"/>
      <c r="AI257"/>
      <c r="AJ257"/>
      <c r="AK257"/>
      <c r="AL257" s="15"/>
      <c r="AM257"/>
      <c r="AN257" s="542">
        <v>197</v>
      </c>
      <c r="AO257" s="733"/>
      <c r="AP257" s="569"/>
      <c r="AQ257"/>
      <c r="AR257"/>
      <c r="AS257"/>
      <c r="AT257"/>
      <c r="AU257"/>
      <c r="AV257"/>
      <c r="AW257"/>
      <c r="AX257"/>
      <c r="AY257"/>
      <c r="AZ257"/>
      <c r="BA257"/>
      <c r="BB257"/>
      <c r="BC257"/>
      <c r="BD257"/>
      <c r="BE257" s="15"/>
      <c r="BF257"/>
      <c r="BG257" s="542">
        <v>197</v>
      </c>
      <c r="BH257" s="733"/>
      <c r="BI257" s="569"/>
      <c r="BJ257"/>
      <c r="BK257"/>
      <c r="BL257"/>
      <c r="BM257"/>
      <c r="BN257"/>
      <c r="BO257"/>
      <c r="BP257"/>
      <c r="BQ257"/>
      <c r="BR257"/>
      <c r="BS257"/>
      <c r="BT257"/>
      <c r="BU257"/>
      <c r="BV257"/>
      <c r="BW257"/>
      <c r="BX257" s="15"/>
    </row>
    <row r="258" spans="1:76">
      <c r="A258"/>
      <c r="B258" s="542">
        <v>198</v>
      </c>
      <c r="C258" s="733"/>
      <c r="D258" s="569"/>
      <c r="E258"/>
      <c r="F258"/>
      <c r="G258"/>
      <c r="H258"/>
      <c r="I258"/>
      <c r="J258"/>
      <c r="K258"/>
      <c r="L258"/>
      <c r="M258"/>
      <c r="N258"/>
      <c r="O258"/>
      <c r="P258"/>
      <c r="Q258"/>
      <c r="R258"/>
      <c r="S258" s="15"/>
      <c r="T258"/>
      <c r="U258" s="542">
        <v>198</v>
      </c>
      <c r="V258" s="733"/>
      <c r="W258" s="569"/>
      <c r="X258"/>
      <c r="Y258"/>
      <c r="Z258"/>
      <c r="AA258"/>
      <c r="AB258"/>
      <c r="AC258"/>
      <c r="AD258"/>
      <c r="AE258"/>
      <c r="AF258"/>
      <c r="AG258"/>
      <c r="AH258"/>
      <c r="AI258"/>
      <c r="AJ258"/>
      <c r="AK258"/>
      <c r="AL258" s="15"/>
      <c r="AM258"/>
      <c r="AN258" s="542">
        <v>198</v>
      </c>
      <c r="AO258" s="733"/>
      <c r="AP258" s="569"/>
      <c r="AQ258"/>
      <c r="AR258"/>
      <c r="AS258"/>
      <c r="AT258"/>
      <c r="AU258"/>
      <c r="AV258"/>
      <c r="AW258"/>
      <c r="AX258"/>
      <c r="AY258"/>
      <c r="AZ258"/>
      <c r="BA258"/>
      <c r="BB258"/>
      <c r="BC258"/>
      <c r="BD258"/>
      <c r="BE258" s="15"/>
      <c r="BF258"/>
      <c r="BG258" s="542">
        <v>198</v>
      </c>
      <c r="BH258" s="733"/>
      <c r="BI258" s="569"/>
      <c r="BJ258"/>
      <c r="BK258"/>
      <c r="BL258"/>
      <c r="BM258"/>
      <c r="BN258"/>
      <c r="BO258"/>
      <c r="BP258"/>
      <c r="BQ258"/>
      <c r="BR258"/>
      <c r="BS258"/>
      <c r="BT258"/>
      <c r="BU258"/>
      <c r="BV258"/>
      <c r="BW258"/>
      <c r="BX258" s="15"/>
    </row>
    <row r="259" spans="1:76">
      <c r="A259"/>
      <c r="B259" s="542">
        <v>199</v>
      </c>
      <c r="C259" s="733"/>
      <c r="D259" s="569"/>
      <c r="E259"/>
      <c r="F259"/>
      <c r="G259"/>
      <c r="H259"/>
      <c r="I259"/>
      <c r="J259"/>
      <c r="K259"/>
      <c r="L259"/>
      <c r="M259"/>
      <c r="N259"/>
      <c r="O259"/>
      <c r="P259"/>
      <c r="Q259"/>
      <c r="R259"/>
      <c r="S259" s="15"/>
      <c r="T259"/>
      <c r="U259" s="542">
        <v>199</v>
      </c>
      <c r="V259" s="733"/>
      <c r="W259" s="569"/>
      <c r="X259"/>
      <c r="Y259"/>
      <c r="Z259"/>
      <c r="AA259"/>
      <c r="AB259"/>
      <c r="AC259"/>
      <c r="AD259"/>
      <c r="AE259"/>
      <c r="AF259"/>
      <c r="AG259"/>
      <c r="AH259"/>
      <c r="AI259"/>
      <c r="AJ259"/>
      <c r="AK259"/>
      <c r="AL259" s="15"/>
      <c r="AM259"/>
      <c r="AN259" s="542">
        <v>199</v>
      </c>
      <c r="AO259" s="733"/>
      <c r="AP259" s="569"/>
      <c r="AQ259"/>
      <c r="AR259"/>
      <c r="AS259"/>
      <c r="AT259"/>
      <c r="AU259"/>
      <c r="AV259"/>
      <c r="AW259"/>
      <c r="AX259"/>
      <c r="AY259"/>
      <c r="AZ259"/>
      <c r="BA259"/>
      <c r="BB259"/>
      <c r="BC259"/>
      <c r="BD259"/>
      <c r="BE259" s="15"/>
      <c r="BF259"/>
      <c r="BG259" s="542">
        <v>199</v>
      </c>
      <c r="BH259" s="733"/>
      <c r="BI259" s="569"/>
      <c r="BJ259"/>
      <c r="BK259"/>
      <c r="BL259"/>
      <c r="BM259"/>
      <c r="BN259"/>
      <c r="BO259"/>
      <c r="BP259"/>
      <c r="BQ259"/>
      <c r="BR259"/>
      <c r="BS259"/>
      <c r="BT259"/>
      <c r="BU259"/>
      <c r="BV259"/>
      <c r="BW259"/>
      <c r="BX259" s="15"/>
    </row>
    <row r="260" spans="1:76">
      <c r="A260"/>
      <c r="B260" s="542">
        <v>200</v>
      </c>
      <c r="C260" s="733"/>
      <c r="D260" s="569"/>
      <c r="E260"/>
      <c r="F260"/>
      <c r="G260"/>
      <c r="H260"/>
      <c r="I260"/>
      <c r="J260"/>
      <c r="K260"/>
      <c r="L260"/>
      <c r="M260"/>
      <c r="N260"/>
      <c r="O260"/>
      <c r="P260"/>
      <c r="Q260"/>
      <c r="R260"/>
      <c r="S260" s="15"/>
      <c r="T260"/>
      <c r="U260" s="542">
        <v>200</v>
      </c>
      <c r="V260" s="733"/>
      <c r="W260" s="569"/>
      <c r="X260"/>
      <c r="Y260"/>
      <c r="Z260"/>
      <c r="AA260"/>
      <c r="AB260"/>
      <c r="AC260"/>
      <c r="AD260"/>
      <c r="AE260"/>
      <c r="AF260"/>
      <c r="AG260"/>
      <c r="AH260"/>
      <c r="AI260"/>
      <c r="AJ260"/>
      <c r="AK260"/>
      <c r="AL260" s="15"/>
      <c r="AM260"/>
      <c r="AN260" s="542">
        <v>200</v>
      </c>
      <c r="AO260" s="733"/>
      <c r="AP260" s="569"/>
      <c r="AQ260"/>
      <c r="AR260"/>
      <c r="AS260"/>
      <c r="AT260"/>
      <c r="AU260"/>
      <c r="AV260"/>
      <c r="AW260"/>
      <c r="AX260"/>
      <c r="AY260"/>
      <c r="AZ260"/>
      <c r="BA260"/>
      <c r="BB260"/>
      <c r="BC260"/>
      <c r="BD260"/>
      <c r="BE260" s="15"/>
      <c r="BF260"/>
      <c r="BG260" s="542">
        <v>200</v>
      </c>
      <c r="BH260" s="733"/>
      <c r="BI260" s="569"/>
      <c r="BJ260"/>
      <c r="BK260"/>
      <c r="BL260"/>
      <c r="BM260"/>
      <c r="BN260"/>
      <c r="BO260"/>
      <c r="BP260"/>
      <c r="BQ260"/>
      <c r="BR260"/>
      <c r="BS260"/>
      <c r="BT260"/>
      <c r="BU260"/>
      <c r="BV260"/>
      <c r="BW260"/>
      <c r="BX260" s="15"/>
    </row>
    <row r="261" spans="1:76">
      <c r="A261"/>
      <c r="B261" s="542">
        <v>201</v>
      </c>
      <c r="C261" s="733"/>
      <c r="D261" s="569"/>
      <c r="E261"/>
      <c r="F261"/>
      <c r="G261"/>
      <c r="H261"/>
      <c r="I261"/>
      <c r="J261"/>
      <c r="K261"/>
      <c r="L261"/>
      <c r="M261"/>
      <c r="N261"/>
      <c r="O261"/>
      <c r="P261"/>
      <c r="Q261"/>
      <c r="R261"/>
      <c r="S261" s="15"/>
      <c r="T261"/>
      <c r="U261" s="542">
        <v>201</v>
      </c>
      <c r="V261" s="733"/>
      <c r="W261" s="569"/>
      <c r="X261"/>
      <c r="Y261"/>
      <c r="Z261"/>
      <c r="AA261"/>
      <c r="AB261"/>
      <c r="AC261"/>
      <c r="AD261"/>
      <c r="AE261"/>
      <c r="AF261"/>
      <c r="AG261"/>
      <c r="AH261"/>
      <c r="AI261"/>
      <c r="AJ261"/>
      <c r="AK261"/>
      <c r="AL261" s="15"/>
      <c r="AM261"/>
      <c r="AN261" s="542">
        <v>201</v>
      </c>
      <c r="AO261" s="733"/>
      <c r="AP261" s="569"/>
      <c r="AQ261"/>
      <c r="AR261"/>
      <c r="AS261"/>
      <c r="AT261"/>
      <c r="AU261"/>
      <c r="AV261"/>
      <c r="AW261"/>
      <c r="AX261"/>
      <c r="AY261"/>
      <c r="AZ261"/>
      <c r="BA261"/>
      <c r="BB261"/>
      <c r="BC261"/>
      <c r="BD261"/>
      <c r="BE261" s="15"/>
      <c r="BF261"/>
      <c r="BG261" s="542">
        <v>201</v>
      </c>
      <c r="BH261" s="733"/>
      <c r="BI261" s="569"/>
      <c r="BJ261"/>
      <c r="BK261"/>
      <c r="BL261"/>
      <c r="BM261"/>
      <c r="BN261"/>
      <c r="BO261"/>
      <c r="BP261"/>
      <c r="BQ261"/>
      <c r="BR261"/>
      <c r="BS261"/>
      <c r="BT261"/>
      <c r="BU261"/>
      <c r="BV261"/>
      <c r="BW261"/>
      <c r="BX261" s="15"/>
    </row>
    <row r="262" spans="1:76">
      <c r="A262"/>
      <c r="B262" s="542">
        <v>202</v>
      </c>
      <c r="C262" s="733"/>
      <c r="D262" s="569"/>
      <c r="E262"/>
      <c r="F262"/>
      <c r="G262"/>
      <c r="H262"/>
      <c r="I262"/>
      <c r="J262"/>
      <c r="K262"/>
      <c r="L262"/>
      <c r="M262"/>
      <c r="N262"/>
      <c r="O262"/>
      <c r="P262"/>
      <c r="Q262"/>
      <c r="R262"/>
      <c r="S262" s="15"/>
      <c r="T262"/>
      <c r="U262" s="542">
        <v>202</v>
      </c>
      <c r="V262" s="733"/>
      <c r="W262" s="569"/>
      <c r="X262"/>
      <c r="Y262"/>
      <c r="Z262"/>
      <c r="AA262"/>
      <c r="AB262"/>
      <c r="AC262"/>
      <c r="AD262"/>
      <c r="AE262"/>
      <c r="AF262"/>
      <c r="AG262"/>
      <c r="AH262"/>
      <c r="AI262"/>
      <c r="AJ262"/>
      <c r="AK262"/>
      <c r="AL262" s="15"/>
      <c r="AM262"/>
      <c r="AN262" s="542">
        <v>202</v>
      </c>
      <c r="AO262" s="733"/>
      <c r="AP262" s="569"/>
      <c r="AQ262"/>
      <c r="AR262"/>
      <c r="AS262"/>
      <c r="AT262"/>
      <c r="AU262"/>
      <c r="AV262"/>
      <c r="AW262"/>
      <c r="AX262"/>
      <c r="AY262"/>
      <c r="AZ262"/>
      <c r="BA262"/>
      <c r="BB262"/>
      <c r="BC262"/>
      <c r="BD262"/>
      <c r="BE262" s="15"/>
      <c r="BF262"/>
      <c r="BG262" s="542">
        <v>202</v>
      </c>
      <c r="BH262" s="733"/>
      <c r="BI262" s="569"/>
      <c r="BJ262"/>
      <c r="BK262"/>
      <c r="BL262"/>
      <c r="BM262"/>
      <c r="BN262"/>
      <c r="BO262"/>
      <c r="BP262"/>
      <c r="BQ262"/>
      <c r="BR262"/>
      <c r="BS262"/>
      <c r="BT262"/>
      <c r="BU262"/>
      <c r="BV262"/>
      <c r="BW262"/>
      <c r="BX262" s="15"/>
    </row>
    <row r="263" spans="1:76">
      <c r="A263"/>
      <c r="B263" s="542">
        <v>203</v>
      </c>
      <c r="C263" s="733"/>
      <c r="D263" s="569"/>
      <c r="E263"/>
      <c r="F263"/>
      <c r="G263"/>
      <c r="H263"/>
      <c r="I263"/>
      <c r="J263"/>
      <c r="K263"/>
      <c r="L263"/>
      <c r="M263"/>
      <c r="N263"/>
      <c r="O263"/>
      <c r="P263"/>
      <c r="Q263"/>
      <c r="R263"/>
      <c r="S263" s="15"/>
      <c r="T263"/>
      <c r="U263" s="542">
        <v>203</v>
      </c>
      <c r="V263" s="733"/>
      <c r="W263" s="569"/>
      <c r="X263"/>
      <c r="Y263"/>
      <c r="Z263"/>
      <c r="AA263"/>
      <c r="AB263"/>
      <c r="AC263"/>
      <c r="AD263"/>
      <c r="AE263"/>
      <c r="AF263"/>
      <c r="AG263"/>
      <c r="AH263"/>
      <c r="AI263"/>
      <c r="AJ263"/>
      <c r="AK263"/>
      <c r="AL263" s="15"/>
      <c r="AM263"/>
      <c r="AN263" s="542">
        <v>203</v>
      </c>
      <c r="AO263" s="733"/>
      <c r="AP263" s="569"/>
      <c r="AQ263"/>
      <c r="AR263"/>
      <c r="AS263"/>
      <c r="AT263"/>
      <c r="AU263"/>
      <c r="AV263"/>
      <c r="AW263"/>
      <c r="AX263"/>
      <c r="AY263"/>
      <c r="AZ263"/>
      <c r="BA263"/>
      <c r="BB263"/>
      <c r="BC263"/>
      <c r="BD263"/>
      <c r="BE263" s="15"/>
      <c r="BF263"/>
      <c r="BG263" s="542">
        <v>203</v>
      </c>
      <c r="BH263" s="733"/>
      <c r="BI263" s="569"/>
      <c r="BJ263"/>
      <c r="BK263"/>
      <c r="BL263"/>
      <c r="BM263"/>
      <c r="BN263"/>
      <c r="BO263"/>
      <c r="BP263"/>
      <c r="BQ263"/>
      <c r="BR263"/>
      <c r="BS263"/>
      <c r="BT263"/>
      <c r="BU263"/>
      <c r="BV263"/>
      <c r="BW263"/>
      <c r="BX263" s="15"/>
    </row>
    <row r="264" spans="1:76">
      <c r="A264"/>
      <c r="B264" s="542">
        <v>204</v>
      </c>
      <c r="C264" s="733"/>
      <c r="D264" s="569"/>
      <c r="E264"/>
      <c r="F264"/>
      <c r="G264"/>
      <c r="H264"/>
      <c r="I264"/>
      <c r="J264"/>
      <c r="K264"/>
      <c r="L264"/>
      <c r="M264"/>
      <c r="N264"/>
      <c r="O264"/>
      <c r="P264"/>
      <c r="Q264"/>
      <c r="R264"/>
      <c r="S264" s="15"/>
      <c r="T264"/>
      <c r="U264" s="542">
        <v>204</v>
      </c>
      <c r="V264" s="733"/>
      <c r="W264" s="569"/>
      <c r="X264"/>
      <c r="Y264"/>
      <c r="Z264"/>
      <c r="AA264"/>
      <c r="AB264"/>
      <c r="AC264"/>
      <c r="AD264"/>
      <c r="AE264"/>
      <c r="AF264"/>
      <c r="AG264"/>
      <c r="AH264"/>
      <c r="AI264"/>
      <c r="AJ264"/>
      <c r="AK264"/>
      <c r="AL264" s="15"/>
      <c r="AM264"/>
      <c r="AN264" s="542">
        <v>204</v>
      </c>
      <c r="AO264" s="733"/>
      <c r="AP264" s="569"/>
      <c r="AQ264"/>
      <c r="AR264"/>
      <c r="AS264"/>
      <c r="AT264"/>
      <c r="AU264"/>
      <c r="AV264"/>
      <c r="AW264"/>
      <c r="AX264"/>
      <c r="AY264"/>
      <c r="AZ264"/>
      <c r="BA264"/>
      <c r="BB264"/>
      <c r="BC264"/>
      <c r="BD264"/>
      <c r="BE264" s="15"/>
      <c r="BF264"/>
      <c r="BG264" s="542">
        <v>204</v>
      </c>
      <c r="BH264" s="733"/>
      <c r="BI264" s="569"/>
      <c r="BJ264"/>
      <c r="BK264"/>
      <c r="BL264"/>
      <c r="BM264"/>
      <c r="BN264"/>
      <c r="BO264"/>
      <c r="BP264"/>
      <c r="BQ264"/>
      <c r="BR264"/>
      <c r="BS264"/>
      <c r="BT264"/>
      <c r="BU264"/>
      <c r="BV264"/>
      <c r="BW264"/>
      <c r="BX264" s="15"/>
    </row>
    <row r="265" spans="1:76">
      <c r="A265"/>
      <c r="B265" s="542">
        <v>205</v>
      </c>
      <c r="C265" s="733"/>
      <c r="D265" s="569"/>
      <c r="E265"/>
      <c r="F265"/>
      <c r="G265"/>
      <c r="H265"/>
      <c r="I265"/>
      <c r="J265"/>
      <c r="K265"/>
      <c r="L265"/>
      <c r="M265"/>
      <c r="N265"/>
      <c r="O265"/>
      <c r="P265"/>
      <c r="Q265"/>
      <c r="R265"/>
      <c r="S265" s="15"/>
      <c r="T265"/>
      <c r="U265" s="542">
        <v>205</v>
      </c>
      <c r="V265" s="733"/>
      <c r="W265" s="569"/>
      <c r="X265"/>
      <c r="Y265"/>
      <c r="Z265"/>
      <c r="AA265"/>
      <c r="AB265"/>
      <c r="AC265"/>
      <c r="AD265"/>
      <c r="AE265"/>
      <c r="AF265"/>
      <c r="AG265"/>
      <c r="AH265"/>
      <c r="AI265"/>
      <c r="AJ265"/>
      <c r="AK265"/>
      <c r="AL265" s="15"/>
      <c r="AM265"/>
      <c r="AN265" s="542">
        <v>205</v>
      </c>
      <c r="AO265" s="733"/>
      <c r="AP265" s="569"/>
      <c r="AQ265"/>
      <c r="AR265"/>
      <c r="AS265"/>
      <c r="AT265"/>
      <c r="AU265"/>
      <c r="AV265"/>
      <c r="AW265"/>
      <c r="AX265"/>
      <c r="AY265"/>
      <c r="AZ265"/>
      <c r="BA265"/>
      <c r="BB265"/>
      <c r="BC265"/>
      <c r="BD265"/>
      <c r="BE265" s="15"/>
      <c r="BF265"/>
      <c r="BG265" s="542">
        <v>205</v>
      </c>
      <c r="BH265" s="733"/>
      <c r="BI265" s="569"/>
      <c r="BJ265"/>
      <c r="BK265"/>
      <c r="BL265"/>
      <c r="BM265"/>
      <c r="BN265"/>
      <c r="BO265"/>
      <c r="BP265"/>
      <c r="BQ265"/>
      <c r="BR265"/>
      <c r="BS265"/>
      <c r="BT265"/>
      <c r="BU265"/>
      <c r="BV265"/>
      <c r="BW265"/>
      <c r="BX265" s="15"/>
    </row>
    <row r="266" spans="1:76">
      <c r="A266"/>
      <c r="B266" s="542">
        <v>206</v>
      </c>
      <c r="C266" s="733"/>
      <c r="D266" s="569"/>
      <c r="E266"/>
      <c r="F266"/>
      <c r="G266"/>
      <c r="H266"/>
      <c r="I266"/>
      <c r="J266"/>
      <c r="K266"/>
      <c r="L266"/>
      <c r="M266"/>
      <c r="N266"/>
      <c r="O266"/>
      <c r="P266"/>
      <c r="Q266"/>
      <c r="R266"/>
      <c r="S266" s="15"/>
      <c r="T266"/>
      <c r="U266" s="542">
        <v>206</v>
      </c>
      <c r="V266" s="733"/>
      <c r="W266" s="569"/>
      <c r="X266"/>
      <c r="Y266"/>
      <c r="Z266"/>
      <c r="AA266"/>
      <c r="AB266"/>
      <c r="AC266"/>
      <c r="AD266"/>
      <c r="AE266"/>
      <c r="AF266"/>
      <c r="AG266"/>
      <c r="AH266"/>
      <c r="AI266"/>
      <c r="AJ266"/>
      <c r="AK266"/>
      <c r="AL266" s="15"/>
      <c r="AM266"/>
      <c r="AN266" s="542">
        <v>206</v>
      </c>
      <c r="AO266" s="733"/>
      <c r="AP266" s="569"/>
      <c r="AQ266"/>
      <c r="AR266"/>
      <c r="AS266"/>
      <c r="AT266"/>
      <c r="AU266"/>
      <c r="AV266"/>
      <c r="AW266"/>
      <c r="AX266"/>
      <c r="AY266"/>
      <c r="AZ266"/>
      <c r="BA266"/>
      <c r="BB266"/>
      <c r="BC266"/>
      <c r="BD266"/>
      <c r="BE266" s="15"/>
      <c r="BF266"/>
      <c r="BG266" s="542">
        <v>206</v>
      </c>
      <c r="BH266" s="733"/>
      <c r="BI266" s="569"/>
      <c r="BJ266"/>
      <c r="BK266"/>
      <c r="BL266"/>
      <c r="BM266"/>
      <c r="BN266"/>
      <c r="BO266"/>
      <c r="BP266"/>
      <c r="BQ266"/>
      <c r="BR266"/>
      <c r="BS266"/>
      <c r="BT266"/>
      <c r="BU266"/>
      <c r="BV266"/>
      <c r="BW266"/>
      <c r="BX266" s="15"/>
    </row>
    <row r="267" spans="1:76">
      <c r="A267"/>
      <c r="B267" s="542">
        <v>207</v>
      </c>
      <c r="C267" s="733"/>
      <c r="D267" s="569"/>
      <c r="E267"/>
      <c r="F267"/>
      <c r="G267"/>
      <c r="H267"/>
      <c r="I267"/>
      <c r="J267"/>
      <c r="K267"/>
      <c r="L267"/>
      <c r="M267"/>
      <c r="N267"/>
      <c r="O267"/>
      <c r="P267"/>
      <c r="Q267"/>
      <c r="R267"/>
      <c r="S267" s="15"/>
      <c r="T267"/>
      <c r="U267" s="542">
        <v>207</v>
      </c>
      <c r="V267" s="733"/>
      <c r="W267" s="569"/>
      <c r="X267"/>
      <c r="Y267"/>
      <c r="Z267"/>
      <c r="AA267"/>
      <c r="AB267"/>
      <c r="AC267"/>
      <c r="AD267"/>
      <c r="AE267"/>
      <c r="AF267"/>
      <c r="AG267"/>
      <c r="AH267"/>
      <c r="AI267"/>
      <c r="AJ267"/>
      <c r="AK267"/>
      <c r="AL267" s="15"/>
      <c r="AM267"/>
      <c r="AN267" s="542">
        <v>207</v>
      </c>
      <c r="AO267" s="733"/>
      <c r="AP267" s="569"/>
      <c r="AQ267"/>
      <c r="AR267"/>
      <c r="AS267"/>
      <c r="AT267"/>
      <c r="AU267"/>
      <c r="AV267"/>
      <c r="AW267"/>
      <c r="AX267"/>
      <c r="AY267"/>
      <c r="AZ267"/>
      <c r="BA267"/>
      <c r="BB267"/>
      <c r="BC267"/>
      <c r="BD267"/>
      <c r="BE267" s="15"/>
      <c r="BF267"/>
      <c r="BG267" s="542">
        <v>207</v>
      </c>
      <c r="BH267" s="733"/>
      <c r="BI267" s="569"/>
      <c r="BJ267"/>
      <c r="BK267"/>
      <c r="BL267"/>
      <c r="BM267"/>
      <c r="BN267"/>
      <c r="BO267"/>
      <c r="BP267"/>
      <c r="BQ267"/>
      <c r="BR267"/>
      <c r="BS267"/>
      <c r="BT267"/>
      <c r="BU267"/>
      <c r="BV267"/>
      <c r="BW267"/>
      <c r="BX267" s="15"/>
    </row>
    <row r="268" spans="1:76">
      <c r="A268"/>
      <c r="B268" s="542">
        <v>208</v>
      </c>
      <c r="C268" s="733"/>
      <c r="D268" s="569"/>
      <c r="E268"/>
      <c r="F268"/>
      <c r="G268"/>
      <c r="H268"/>
      <c r="I268"/>
      <c r="J268"/>
      <c r="K268"/>
      <c r="L268"/>
      <c r="M268"/>
      <c r="N268"/>
      <c r="O268"/>
      <c r="P268"/>
      <c r="Q268"/>
      <c r="R268"/>
      <c r="S268" s="15"/>
      <c r="T268"/>
      <c r="U268" s="542">
        <v>208</v>
      </c>
      <c r="V268" s="733"/>
      <c r="W268" s="569"/>
      <c r="X268"/>
      <c r="Y268"/>
      <c r="Z268"/>
      <c r="AA268"/>
      <c r="AB268"/>
      <c r="AC268"/>
      <c r="AD268"/>
      <c r="AE268"/>
      <c r="AF268"/>
      <c r="AG268"/>
      <c r="AH268"/>
      <c r="AI268"/>
      <c r="AJ268"/>
      <c r="AK268"/>
      <c r="AL268" s="15"/>
      <c r="AM268"/>
      <c r="AN268" s="542">
        <v>208</v>
      </c>
      <c r="AO268" s="733"/>
      <c r="AP268" s="569"/>
      <c r="AQ268"/>
      <c r="AR268"/>
      <c r="AS268"/>
      <c r="AT268"/>
      <c r="AU268"/>
      <c r="AV268"/>
      <c r="AW268"/>
      <c r="AX268"/>
      <c r="AY268"/>
      <c r="AZ268"/>
      <c r="BA268"/>
      <c r="BB268"/>
      <c r="BC268"/>
      <c r="BD268"/>
      <c r="BE268" s="15"/>
      <c r="BF268"/>
      <c r="BG268" s="542">
        <v>208</v>
      </c>
      <c r="BH268" s="733"/>
      <c r="BI268" s="569"/>
      <c r="BJ268"/>
      <c r="BK268"/>
      <c r="BL268"/>
      <c r="BM268"/>
      <c r="BN268"/>
      <c r="BO268"/>
      <c r="BP268"/>
      <c r="BQ268"/>
      <c r="BR268"/>
      <c r="BS268"/>
      <c r="BT268"/>
      <c r="BU268"/>
      <c r="BV268"/>
      <c r="BW268"/>
      <c r="BX268" s="15"/>
    </row>
    <row r="269" spans="1:76">
      <c r="A269"/>
      <c r="B269" s="542">
        <v>209</v>
      </c>
      <c r="C269" s="733"/>
      <c r="D269" s="569"/>
      <c r="E269"/>
      <c r="F269"/>
      <c r="G269"/>
      <c r="H269"/>
      <c r="I269"/>
      <c r="J269"/>
      <c r="K269"/>
      <c r="L269"/>
      <c r="M269"/>
      <c r="N269"/>
      <c r="O269"/>
      <c r="P269"/>
      <c r="Q269"/>
      <c r="R269"/>
      <c r="S269" s="15"/>
      <c r="T269"/>
      <c r="U269" s="542">
        <v>209</v>
      </c>
      <c r="V269" s="733"/>
      <c r="W269" s="569"/>
      <c r="X269"/>
      <c r="Y269"/>
      <c r="Z269"/>
      <c r="AA269"/>
      <c r="AB269"/>
      <c r="AC269"/>
      <c r="AD269"/>
      <c r="AE269"/>
      <c r="AF269"/>
      <c r="AG269"/>
      <c r="AH269"/>
      <c r="AI269"/>
      <c r="AJ269"/>
      <c r="AK269"/>
      <c r="AL269" s="15"/>
      <c r="AM269"/>
      <c r="AN269" s="542">
        <v>209</v>
      </c>
      <c r="AO269" s="733"/>
      <c r="AP269" s="569"/>
      <c r="AQ269"/>
      <c r="AR269"/>
      <c r="AS269"/>
      <c r="AT269"/>
      <c r="AU269"/>
      <c r="AV269"/>
      <c r="AW269"/>
      <c r="AX269"/>
      <c r="AY269"/>
      <c r="AZ269"/>
      <c r="BA269"/>
      <c r="BB269"/>
      <c r="BC269"/>
      <c r="BD269"/>
      <c r="BE269" s="15"/>
      <c r="BF269"/>
      <c r="BG269" s="542">
        <v>209</v>
      </c>
      <c r="BH269" s="733"/>
      <c r="BI269" s="569"/>
      <c r="BJ269"/>
      <c r="BK269"/>
      <c r="BL269"/>
      <c r="BM269"/>
      <c r="BN269"/>
      <c r="BO269"/>
      <c r="BP269"/>
      <c r="BQ269"/>
      <c r="BR269"/>
      <c r="BS269"/>
      <c r="BT269"/>
      <c r="BU269"/>
      <c r="BV269"/>
      <c r="BW269"/>
      <c r="BX269" s="15"/>
    </row>
    <row r="270" spans="1:76">
      <c r="A270"/>
      <c r="B270" s="542">
        <v>210</v>
      </c>
      <c r="C270" s="733"/>
      <c r="D270" s="569"/>
      <c r="E270"/>
      <c r="F270"/>
      <c r="G270"/>
      <c r="H270"/>
      <c r="I270"/>
      <c r="J270"/>
      <c r="K270"/>
      <c r="L270"/>
      <c r="M270"/>
      <c r="N270"/>
      <c r="O270"/>
      <c r="P270"/>
      <c r="Q270"/>
      <c r="R270"/>
      <c r="S270" s="15"/>
      <c r="T270"/>
      <c r="U270" s="542">
        <v>210</v>
      </c>
      <c r="V270" s="733"/>
      <c r="W270" s="569"/>
      <c r="X270"/>
      <c r="Y270"/>
      <c r="Z270"/>
      <c r="AA270"/>
      <c r="AB270"/>
      <c r="AC270"/>
      <c r="AD270"/>
      <c r="AE270"/>
      <c r="AF270"/>
      <c r="AG270"/>
      <c r="AH270"/>
      <c r="AI270"/>
      <c r="AJ270"/>
      <c r="AK270"/>
      <c r="AL270" s="15"/>
      <c r="AM270"/>
      <c r="AN270" s="542">
        <v>210</v>
      </c>
      <c r="AO270" s="733"/>
      <c r="AP270" s="569"/>
      <c r="AQ270"/>
      <c r="AR270"/>
      <c r="AS270"/>
      <c r="AT270"/>
      <c r="AU270"/>
      <c r="AV270"/>
      <c r="AW270"/>
      <c r="AX270"/>
      <c r="AY270"/>
      <c r="AZ270"/>
      <c r="BA270"/>
      <c r="BB270"/>
      <c r="BC270"/>
      <c r="BD270"/>
      <c r="BE270" s="15"/>
      <c r="BF270"/>
      <c r="BG270" s="542">
        <v>210</v>
      </c>
      <c r="BH270" s="733"/>
      <c r="BI270" s="569"/>
      <c r="BJ270"/>
      <c r="BK270"/>
      <c r="BL270"/>
      <c r="BM270"/>
      <c r="BN270"/>
      <c r="BO270"/>
      <c r="BP270"/>
      <c r="BQ270"/>
      <c r="BR270"/>
      <c r="BS270"/>
      <c r="BT270"/>
      <c r="BU270"/>
      <c r="BV270"/>
      <c r="BW270"/>
      <c r="BX270" s="15"/>
    </row>
    <row r="271" spans="1:76">
      <c r="A271"/>
      <c r="B271" s="542">
        <v>211</v>
      </c>
      <c r="C271" s="733"/>
      <c r="D271" s="569"/>
      <c r="E271"/>
      <c r="F271"/>
      <c r="G271"/>
      <c r="H271"/>
      <c r="I271"/>
      <c r="J271"/>
      <c r="K271"/>
      <c r="L271"/>
      <c r="M271"/>
      <c r="N271"/>
      <c r="O271"/>
      <c r="P271"/>
      <c r="Q271"/>
      <c r="R271"/>
      <c r="S271" s="15"/>
      <c r="T271"/>
      <c r="U271" s="542">
        <v>211</v>
      </c>
      <c r="V271" s="733"/>
      <c r="W271" s="569"/>
      <c r="X271"/>
      <c r="Y271"/>
      <c r="Z271"/>
      <c r="AA271"/>
      <c r="AB271"/>
      <c r="AC271"/>
      <c r="AD271"/>
      <c r="AE271"/>
      <c r="AF271"/>
      <c r="AG271"/>
      <c r="AH271"/>
      <c r="AI271"/>
      <c r="AJ271"/>
      <c r="AK271"/>
      <c r="AL271" s="15"/>
      <c r="AM271"/>
      <c r="AN271" s="542">
        <v>211</v>
      </c>
      <c r="AO271" s="733"/>
      <c r="AP271" s="569"/>
      <c r="AQ271"/>
      <c r="AR271"/>
      <c r="AS271"/>
      <c r="AT271"/>
      <c r="AU271"/>
      <c r="AV271"/>
      <c r="AW271"/>
      <c r="AX271"/>
      <c r="AY271"/>
      <c r="AZ271"/>
      <c r="BA271"/>
      <c r="BB271"/>
      <c r="BC271"/>
      <c r="BD271"/>
      <c r="BE271" s="15"/>
      <c r="BF271"/>
      <c r="BG271" s="542">
        <v>211</v>
      </c>
      <c r="BH271" s="733"/>
      <c r="BI271" s="569"/>
      <c r="BJ271"/>
      <c r="BK271"/>
      <c r="BL271"/>
      <c r="BM271"/>
      <c r="BN271"/>
      <c r="BO271"/>
      <c r="BP271"/>
      <c r="BQ271"/>
      <c r="BR271"/>
      <c r="BS271"/>
      <c r="BT271"/>
      <c r="BU271"/>
      <c r="BV271"/>
      <c r="BW271"/>
      <c r="BX271" s="15"/>
    </row>
    <row r="272" spans="1:76">
      <c r="A272"/>
      <c r="B272" s="542">
        <v>212</v>
      </c>
      <c r="C272" s="733"/>
      <c r="D272" s="569"/>
      <c r="E272"/>
      <c r="F272"/>
      <c r="G272"/>
      <c r="H272"/>
      <c r="I272"/>
      <c r="J272"/>
      <c r="K272"/>
      <c r="L272"/>
      <c r="M272"/>
      <c r="N272"/>
      <c r="O272"/>
      <c r="P272"/>
      <c r="Q272"/>
      <c r="R272"/>
      <c r="S272" s="15"/>
      <c r="T272"/>
      <c r="U272" s="542">
        <v>212</v>
      </c>
      <c r="V272" s="733"/>
      <c r="W272" s="569"/>
      <c r="X272"/>
      <c r="Y272"/>
      <c r="Z272"/>
      <c r="AA272"/>
      <c r="AB272"/>
      <c r="AC272"/>
      <c r="AD272"/>
      <c r="AE272"/>
      <c r="AF272"/>
      <c r="AG272"/>
      <c r="AH272"/>
      <c r="AI272"/>
      <c r="AJ272"/>
      <c r="AK272"/>
      <c r="AL272" s="15"/>
      <c r="AM272"/>
      <c r="AN272" s="542">
        <v>212</v>
      </c>
      <c r="AO272" s="733"/>
      <c r="AP272" s="569"/>
      <c r="AQ272"/>
      <c r="AR272"/>
      <c r="AS272"/>
      <c r="AT272"/>
      <c r="AU272"/>
      <c r="AV272"/>
      <c r="AW272"/>
      <c r="AX272"/>
      <c r="AY272"/>
      <c r="AZ272"/>
      <c r="BA272"/>
      <c r="BB272"/>
      <c r="BC272"/>
      <c r="BD272"/>
      <c r="BE272" s="15"/>
      <c r="BF272"/>
      <c r="BG272" s="542">
        <v>212</v>
      </c>
      <c r="BH272" s="733"/>
      <c r="BI272" s="569"/>
      <c r="BJ272"/>
      <c r="BK272"/>
      <c r="BL272"/>
      <c r="BM272"/>
      <c r="BN272"/>
      <c r="BO272"/>
      <c r="BP272"/>
      <c r="BQ272"/>
      <c r="BR272"/>
      <c r="BS272"/>
      <c r="BT272"/>
      <c r="BU272"/>
      <c r="BV272"/>
      <c r="BW272"/>
      <c r="BX272" s="15"/>
    </row>
    <row r="273" spans="1:76">
      <c r="A273"/>
      <c r="B273" s="542">
        <v>213</v>
      </c>
      <c r="C273" s="733"/>
      <c r="D273" s="569"/>
      <c r="E273"/>
      <c r="F273"/>
      <c r="G273"/>
      <c r="H273"/>
      <c r="I273"/>
      <c r="J273"/>
      <c r="K273"/>
      <c r="L273"/>
      <c r="M273"/>
      <c r="N273"/>
      <c r="O273"/>
      <c r="P273"/>
      <c r="Q273"/>
      <c r="R273"/>
      <c r="S273" s="15"/>
      <c r="T273"/>
      <c r="U273" s="542">
        <v>213</v>
      </c>
      <c r="V273" s="733"/>
      <c r="W273" s="569"/>
      <c r="X273"/>
      <c r="Y273"/>
      <c r="Z273"/>
      <c r="AA273"/>
      <c r="AB273"/>
      <c r="AC273"/>
      <c r="AD273"/>
      <c r="AE273"/>
      <c r="AF273"/>
      <c r="AG273"/>
      <c r="AH273"/>
      <c r="AI273"/>
      <c r="AJ273"/>
      <c r="AK273"/>
      <c r="AL273" s="15"/>
      <c r="AM273"/>
      <c r="AN273" s="542">
        <v>213</v>
      </c>
      <c r="AO273" s="733"/>
      <c r="AP273" s="569"/>
      <c r="AQ273"/>
      <c r="AR273"/>
      <c r="AS273"/>
      <c r="AT273"/>
      <c r="AU273"/>
      <c r="AV273"/>
      <c r="AW273"/>
      <c r="AX273"/>
      <c r="AY273"/>
      <c r="AZ273"/>
      <c r="BA273"/>
      <c r="BB273"/>
      <c r="BC273"/>
      <c r="BD273"/>
      <c r="BE273" s="15"/>
      <c r="BF273"/>
      <c r="BG273" s="542">
        <v>213</v>
      </c>
      <c r="BH273" s="733"/>
      <c r="BI273" s="569"/>
      <c r="BJ273"/>
      <c r="BK273"/>
      <c r="BL273"/>
      <c r="BM273"/>
      <c r="BN273"/>
      <c r="BO273"/>
      <c r="BP273"/>
      <c r="BQ273"/>
      <c r="BR273"/>
      <c r="BS273"/>
      <c r="BT273"/>
      <c r="BU273"/>
      <c r="BV273"/>
      <c r="BW273"/>
      <c r="BX273" s="15"/>
    </row>
    <row r="274" spans="1:76">
      <c r="A274"/>
      <c r="B274" s="542">
        <v>214</v>
      </c>
      <c r="C274" s="733"/>
      <c r="D274" s="569"/>
      <c r="E274"/>
      <c r="F274"/>
      <c r="G274"/>
      <c r="H274"/>
      <c r="I274"/>
      <c r="J274"/>
      <c r="K274"/>
      <c r="L274"/>
      <c r="M274"/>
      <c r="N274"/>
      <c r="O274"/>
      <c r="P274"/>
      <c r="Q274"/>
      <c r="R274"/>
      <c r="S274" s="15"/>
      <c r="T274"/>
      <c r="U274" s="542">
        <v>214</v>
      </c>
      <c r="V274" s="733"/>
      <c r="W274" s="569"/>
      <c r="X274"/>
      <c r="Y274"/>
      <c r="Z274"/>
      <c r="AA274"/>
      <c r="AB274"/>
      <c r="AC274"/>
      <c r="AD274"/>
      <c r="AE274"/>
      <c r="AF274"/>
      <c r="AG274"/>
      <c r="AH274"/>
      <c r="AI274"/>
      <c r="AJ274"/>
      <c r="AK274"/>
      <c r="AL274" s="15"/>
      <c r="AM274"/>
      <c r="AN274" s="542">
        <v>214</v>
      </c>
      <c r="AO274" s="733"/>
      <c r="AP274" s="569"/>
      <c r="AQ274"/>
      <c r="AR274"/>
      <c r="AS274"/>
      <c r="AT274"/>
      <c r="AU274"/>
      <c r="AV274"/>
      <c r="AW274"/>
      <c r="AX274"/>
      <c r="AY274"/>
      <c r="AZ274"/>
      <c r="BA274"/>
      <c r="BB274"/>
      <c r="BC274"/>
      <c r="BD274"/>
      <c r="BE274" s="15"/>
      <c r="BF274"/>
      <c r="BG274" s="542">
        <v>214</v>
      </c>
      <c r="BH274" s="733"/>
      <c r="BI274" s="569"/>
      <c r="BJ274"/>
      <c r="BK274"/>
      <c r="BL274"/>
      <c r="BM274"/>
      <c r="BN274"/>
      <c r="BO274"/>
      <c r="BP274"/>
      <c r="BQ274"/>
      <c r="BR274"/>
      <c r="BS274"/>
      <c r="BT274"/>
      <c r="BU274"/>
      <c r="BV274"/>
      <c r="BW274"/>
      <c r="BX274" s="15"/>
    </row>
    <row r="275" spans="1:76">
      <c r="A275"/>
      <c r="B275" s="542">
        <v>215</v>
      </c>
      <c r="C275" s="733"/>
      <c r="D275" s="569"/>
      <c r="E275"/>
      <c r="F275"/>
      <c r="G275"/>
      <c r="H275"/>
      <c r="I275"/>
      <c r="J275"/>
      <c r="K275"/>
      <c r="L275"/>
      <c r="M275"/>
      <c r="N275"/>
      <c r="O275"/>
      <c r="P275"/>
      <c r="Q275"/>
      <c r="R275"/>
      <c r="S275" s="15"/>
      <c r="T275"/>
      <c r="U275" s="542">
        <v>215</v>
      </c>
      <c r="V275" s="733"/>
      <c r="W275" s="569"/>
      <c r="X275"/>
      <c r="Y275"/>
      <c r="Z275"/>
      <c r="AA275"/>
      <c r="AB275"/>
      <c r="AC275"/>
      <c r="AD275"/>
      <c r="AE275"/>
      <c r="AF275"/>
      <c r="AG275"/>
      <c r="AH275"/>
      <c r="AI275"/>
      <c r="AJ275"/>
      <c r="AK275"/>
      <c r="AL275" s="15"/>
      <c r="AM275"/>
      <c r="AN275" s="542">
        <v>215</v>
      </c>
      <c r="AO275" s="733"/>
      <c r="AP275" s="569"/>
      <c r="AQ275"/>
      <c r="AR275"/>
      <c r="AS275"/>
      <c r="AT275"/>
      <c r="AU275"/>
      <c r="AV275"/>
      <c r="AW275"/>
      <c r="AX275"/>
      <c r="AY275"/>
      <c r="AZ275"/>
      <c r="BA275"/>
      <c r="BB275"/>
      <c r="BC275"/>
      <c r="BD275"/>
      <c r="BE275" s="15"/>
      <c r="BF275"/>
      <c r="BG275" s="542">
        <v>215</v>
      </c>
      <c r="BH275" s="733"/>
      <c r="BI275" s="569"/>
      <c r="BJ275"/>
      <c r="BK275"/>
      <c r="BL275"/>
      <c r="BM275"/>
      <c r="BN275"/>
      <c r="BO275"/>
      <c r="BP275"/>
      <c r="BQ275"/>
      <c r="BR275"/>
      <c r="BS275"/>
      <c r="BT275"/>
      <c r="BU275"/>
      <c r="BV275"/>
      <c r="BW275"/>
      <c r="BX275" s="15"/>
    </row>
    <row r="276" spans="1:76">
      <c r="A276"/>
      <c r="B276" s="542">
        <v>216</v>
      </c>
      <c r="C276" s="733"/>
      <c r="D276" s="569"/>
      <c r="E276"/>
      <c r="F276"/>
      <c r="G276"/>
      <c r="H276"/>
      <c r="I276"/>
      <c r="J276"/>
      <c r="K276"/>
      <c r="L276"/>
      <c r="M276"/>
      <c r="N276"/>
      <c r="O276"/>
      <c r="P276"/>
      <c r="Q276"/>
      <c r="R276"/>
      <c r="S276" s="15"/>
      <c r="T276"/>
      <c r="U276" s="542">
        <v>216</v>
      </c>
      <c r="V276" s="733"/>
      <c r="W276" s="569"/>
      <c r="X276"/>
      <c r="Y276"/>
      <c r="Z276"/>
      <c r="AA276"/>
      <c r="AB276"/>
      <c r="AC276"/>
      <c r="AD276"/>
      <c r="AE276"/>
      <c r="AF276"/>
      <c r="AG276"/>
      <c r="AH276"/>
      <c r="AI276"/>
      <c r="AJ276"/>
      <c r="AK276"/>
      <c r="AL276" s="15"/>
      <c r="AM276"/>
      <c r="AN276" s="542">
        <v>216</v>
      </c>
      <c r="AO276" s="733"/>
      <c r="AP276" s="569"/>
      <c r="AQ276"/>
      <c r="AR276"/>
      <c r="AS276"/>
      <c r="AT276"/>
      <c r="AU276"/>
      <c r="AV276"/>
      <c r="AW276"/>
      <c r="AX276"/>
      <c r="AY276"/>
      <c r="AZ276"/>
      <c r="BA276"/>
      <c r="BB276"/>
      <c r="BC276"/>
      <c r="BD276"/>
      <c r="BE276" s="15"/>
      <c r="BF276"/>
      <c r="BG276" s="542">
        <v>216</v>
      </c>
      <c r="BH276" s="733"/>
      <c r="BI276" s="569"/>
      <c r="BJ276"/>
      <c r="BK276"/>
      <c r="BL276"/>
      <c r="BM276"/>
      <c r="BN276"/>
      <c r="BO276"/>
      <c r="BP276"/>
      <c r="BQ276"/>
      <c r="BR276"/>
      <c r="BS276"/>
      <c r="BT276"/>
      <c r="BU276"/>
      <c r="BV276"/>
      <c r="BW276"/>
      <c r="BX276" s="15"/>
    </row>
    <row r="277" spans="1:76">
      <c r="A277"/>
      <c r="B277" s="542">
        <v>217</v>
      </c>
      <c r="C277" s="733"/>
      <c r="D277" s="569"/>
      <c r="E277"/>
      <c r="F277"/>
      <c r="G277"/>
      <c r="H277"/>
      <c r="I277"/>
      <c r="J277"/>
      <c r="K277"/>
      <c r="L277"/>
      <c r="M277"/>
      <c r="N277"/>
      <c r="O277"/>
      <c r="P277"/>
      <c r="Q277"/>
      <c r="R277"/>
      <c r="S277" s="15"/>
      <c r="T277"/>
      <c r="U277" s="542">
        <v>217</v>
      </c>
      <c r="V277" s="733"/>
      <c r="W277" s="569"/>
      <c r="X277"/>
      <c r="Y277"/>
      <c r="Z277"/>
      <c r="AA277"/>
      <c r="AB277"/>
      <c r="AC277"/>
      <c r="AD277"/>
      <c r="AE277"/>
      <c r="AF277"/>
      <c r="AG277"/>
      <c r="AH277"/>
      <c r="AI277"/>
      <c r="AJ277"/>
      <c r="AK277"/>
      <c r="AL277" s="15"/>
      <c r="AM277"/>
      <c r="AN277" s="542">
        <v>217</v>
      </c>
      <c r="AO277" s="733"/>
      <c r="AP277" s="569"/>
      <c r="AQ277"/>
      <c r="AR277"/>
      <c r="AS277"/>
      <c r="AT277"/>
      <c r="AU277"/>
      <c r="AV277"/>
      <c r="AW277"/>
      <c r="AX277"/>
      <c r="AY277"/>
      <c r="AZ277"/>
      <c r="BA277"/>
      <c r="BB277"/>
      <c r="BC277"/>
      <c r="BD277"/>
      <c r="BE277" s="15"/>
      <c r="BF277"/>
      <c r="BG277" s="542">
        <v>217</v>
      </c>
      <c r="BH277" s="733"/>
      <c r="BI277" s="569"/>
      <c r="BJ277"/>
      <c r="BK277"/>
      <c r="BL277"/>
      <c r="BM277"/>
      <c r="BN277"/>
      <c r="BO277"/>
      <c r="BP277"/>
      <c r="BQ277"/>
      <c r="BR277"/>
      <c r="BS277"/>
      <c r="BT277"/>
      <c r="BU277"/>
      <c r="BV277"/>
      <c r="BW277"/>
      <c r="BX277" s="15"/>
    </row>
    <row r="278" spans="1:76">
      <c r="A278"/>
      <c r="B278" s="542">
        <v>218</v>
      </c>
      <c r="C278" s="733"/>
      <c r="D278" s="569"/>
      <c r="E278"/>
      <c r="F278"/>
      <c r="G278"/>
      <c r="H278"/>
      <c r="I278"/>
      <c r="J278"/>
      <c r="K278"/>
      <c r="L278"/>
      <c r="M278"/>
      <c r="N278"/>
      <c r="O278"/>
      <c r="P278"/>
      <c r="Q278"/>
      <c r="R278"/>
      <c r="S278" s="15"/>
      <c r="T278"/>
      <c r="U278" s="542">
        <v>218</v>
      </c>
      <c r="V278" s="733"/>
      <c r="W278" s="569"/>
      <c r="X278"/>
      <c r="Y278"/>
      <c r="Z278"/>
      <c r="AA278"/>
      <c r="AB278"/>
      <c r="AC278"/>
      <c r="AD278"/>
      <c r="AE278"/>
      <c r="AF278"/>
      <c r="AG278"/>
      <c r="AH278"/>
      <c r="AI278"/>
      <c r="AJ278"/>
      <c r="AK278"/>
      <c r="AL278" s="15"/>
      <c r="AM278"/>
      <c r="AN278" s="542">
        <v>218</v>
      </c>
      <c r="AO278" s="733"/>
      <c r="AP278" s="569"/>
      <c r="AQ278"/>
      <c r="AR278"/>
      <c r="AS278"/>
      <c r="AT278"/>
      <c r="AU278"/>
      <c r="AV278"/>
      <c r="AW278"/>
      <c r="AX278"/>
      <c r="AY278"/>
      <c r="AZ278"/>
      <c r="BA278"/>
      <c r="BB278"/>
      <c r="BC278"/>
      <c r="BD278"/>
      <c r="BE278" s="15"/>
      <c r="BF278"/>
      <c r="BG278" s="542">
        <v>218</v>
      </c>
      <c r="BH278" s="733"/>
      <c r="BI278" s="569"/>
      <c r="BJ278"/>
      <c r="BK278"/>
      <c r="BL278"/>
      <c r="BM278"/>
      <c r="BN278"/>
      <c r="BO278"/>
      <c r="BP278"/>
      <c r="BQ278"/>
      <c r="BR278"/>
      <c r="BS278"/>
      <c r="BT278"/>
      <c r="BU278"/>
      <c r="BV278"/>
      <c r="BW278"/>
      <c r="BX278" s="15"/>
    </row>
    <row r="279" spans="1:76">
      <c r="A279"/>
      <c r="B279" s="542">
        <v>219</v>
      </c>
      <c r="C279" s="733"/>
      <c r="D279" s="569"/>
      <c r="E279"/>
      <c r="F279"/>
      <c r="G279"/>
      <c r="H279"/>
      <c r="I279"/>
      <c r="J279"/>
      <c r="K279"/>
      <c r="L279"/>
      <c r="M279"/>
      <c r="N279"/>
      <c r="O279"/>
      <c r="P279"/>
      <c r="Q279"/>
      <c r="R279"/>
      <c r="S279" s="15"/>
      <c r="T279"/>
      <c r="U279" s="542">
        <v>219</v>
      </c>
      <c r="V279" s="733"/>
      <c r="W279" s="569"/>
      <c r="X279"/>
      <c r="Y279"/>
      <c r="Z279"/>
      <c r="AA279"/>
      <c r="AB279"/>
      <c r="AC279"/>
      <c r="AD279"/>
      <c r="AE279"/>
      <c r="AF279"/>
      <c r="AG279"/>
      <c r="AH279"/>
      <c r="AI279"/>
      <c r="AJ279"/>
      <c r="AK279"/>
      <c r="AL279" s="15"/>
      <c r="AM279"/>
      <c r="AN279" s="542">
        <v>219</v>
      </c>
      <c r="AO279" s="733"/>
      <c r="AP279" s="569"/>
      <c r="AQ279"/>
      <c r="AR279"/>
      <c r="AS279"/>
      <c r="AT279"/>
      <c r="AU279"/>
      <c r="AV279"/>
      <c r="AW279"/>
      <c r="AX279"/>
      <c r="AY279"/>
      <c r="AZ279"/>
      <c r="BA279"/>
      <c r="BB279"/>
      <c r="BC279"/>
      <c r="BD279"/>
      <c r="BE279" s="15"/>
      <c r="BF279"/>
      <c r="BG279" s="542">
        <v>219</v>
      </c>
      <c r="BH279" s="733"/>
      <c r="BI279" s="569"/>
      <c r="BJ279"/>
      <c r="BK279"/>
      <c r="BL279"/>
      <c r="BM279"/>
      <c r="BN279"/>
      <c r="BO279"/>
      <c r="BP279"/>
      <c r="BQ279"/>
      <c r="BR279"/>
      <c r="BS279"/>
      <c r="BT279"/>
      <c r="BU279"/>
      <c r="BV279"/>
      <c r="BW279"/>
      <c r="BX279" s="15"/>
    </row>
    <row r="280" spans="1:76">
      <c r="A280"/>
      <c r="B280" s="542">
        <v>220</v>
      </c>
      <c r="C280" s="733"/>
      <c r="D280" s="569"/>
      <c r="E280"/>
      <c r="F280"/>
      <c r="G280"/>
      <c r="H280"/>
      <c r="I280"/>
      <c r="J280"/>
      <c r="K280"/>
      <c r="L280"/>
      <c r="M280"/>
      <c r="N280"/>
      <c r="O280"/>
      <c r="P280"/>
      <c r="Q280"/>
      <c r="R280"/>
      <c r="S280" s="15"/>
      <c r="T280"/>
      <c r="U280" s="542">
        <v>220</v>
      </c>
      <c r="V280" s="733"/>
      <c r="W280" s="569"/>
      <c r="X280"/>
      <c r="Y280"/>
      <c r="Z280"/>
      <c r="AA280"/>
      <c r="AB280"/>
      <c r="AC280"/>
      <c r="AD280"/>
      <c r="AE280"/>
      <c r="AF280"/>
      <c r="AG280"/>
      <c r="AH280"/>
      <c r="AI280"/>
      <c r="AJ280"/>
      <c r="AK280"/>
      <c r="AL280" s="15"/>
      <c r="AM280"/>
      <c r="AN280" s="542">
        <v>220</v>
      </c>
      <c r="AO280" s="733"/>
      <c r="AP280" s="569"/>
      <c r="AQ280"/>
      <c r="AR280"/>
      <c r="AS280"/>
      <c r="AT280"/>
      <c r="AU280"/>
      <c r="AV280"/>
      <c r="AW280"/>
      <c r="AX280"/>
      <c r="AY280"/>
      <c r="AZ280"/>
      <c r="BA280"/>
      <c r="BB280"/>
      <c r="BC280"/>
      <c r="BD280"/>
      <c r="BE280" s="15"/>
      <c r="BF280"/>
      <c r="BG280" s="542">
        <v>220</v>
      </c>
      <c r="BH280" s="733"/>
      <c r="BI280" s="569"/>
      <c r="BJ280"/>
      <c r="BK280"/>
      <c r="BL280"/>
      <c r="BM280"/>
      <c r="BN280"/>
      <c r="BO280"/>
      <c r="BP280"/>
      <c r="BQ280"/>
      <c r="BR280"/>
      <c r="BS280"/>
      <c r="BT280"/>
      <c r="BU280"/>
      <c r="BV280"/>
      <c r="BW280"/>
      <c r="BX280" s="15"/>
    </row>
    <row r="281" spans="1:76">
      <c r="A281"/>
      <c r="B281" s="542">
        <v>221</v>
      </c>
      <c r="C281" s="733"/>
      <c r="D281" s="569"/>
      <c r="E281"/>
      <c r="F281"/>
      <c r="G281"/>
      <c r="H281"/>
      <c r="I281"/>
      <c r="J281"/>
      <c r="K281"/>
      <c r="L281"/>
      <c r="M281"/>
      <c r="N281"/>
      <c r="O281"/>
      <c r="P281"/>
      <c r="Q281"/>
      <c r="R281"/>
      <c r="S281" s="15"/>
      <c r="T281"/>
      <c r="U281" s="542">
        <v>221</v>
      </c>
      <c r="V281" s="733"/>
      <c r="W281" s="569"/>
      <c r="X281"/>
      <c r="Y281"/>
      <c r="Z281"/>
      <c r="AA281"/>
      <c r="AB281"/>
      <c r="AC281"/>
      <c r="AD281"/>
      <c r="AE281"/>
      <c r="AF281"/>
      <c r="AG281"/>
      <c r="AH281"/>
      <c r="AI281"/>
      <c r="AJ281"/>
      <c r="AK281"/>
      <c r="AL281" s="15"/>
      <c r="AM281"/>
      <c r="AN281" s="542">
        <v>221</v>
      </c>
      <c r="AO281" s="733"/>
      <c r="AP281" s="569"/>
      <c r="AQ281"/>
      <c r="AR281"/>
      <c r="AS281"/>
      <c r="AT281"/>
      <c r="AU281"/>
      <c r="AV281"/>
      <c r="AW281"/>
      <c r="AX281"/>
      <c r="AY281"/>
      <c r="AZ281"/>
      <c r="BA281"/>
      <c r="BB281"/>
      <c r="BC281"/>
      <c r="BD281"/>
      <c r="BE281" s="15"/>
      <c r="BF281"/>
      <c r="BG281" s="542">
        <v>221</v>
      </c>
      <c r="BH281" s="733"/>
      <c r="BI281" s="569"/>
      <c r="BJ281"/>
      <c r="BK281"/>
      <c r="BL281"/>
      <c r="BM281"/>
      <c r="BN281"/>
      <c r="BO281"/>
      <c r="BP281"/>
      <c r="BQ281"/>
      <c r="BR281"/>
      <c r="BS281"/>
      <c r="BT281"/>
      <c r="BU281"/>
      <c r="BV281"/>
      <c r="BW281"/>
      <c r="BX281" s="15"/>
    </row>
    <row r="282" spans="1:76">
      <c r="A282"/>
      <c r="B282" s="542">
        <v>222</v>
      </c>
      <c r="C282" s="733"/>
      <c r="D282" s="569"/>
      <c r="E282"/>
      <c r="F282"/>
      <c r="G282"/>
      <c r="H282"/>
      <c r="I282"/>
      <c r="J282"/>
      <c r="K282"/>
      <c r="L282"/>
      <c r="M282"/>
      <c r="N282"/>
      <c r="O282"/>
      <c r="P282"/>
      <c r="Q282"/>
      <c r="R282"/>
      <c r="S282" s="15"/>
      <c r="T282"/>
      <c r="U282" s="542">
        <v>222</v>
      </c>
      <c r="V282" s="733"/>
      <c r="W282" s="569"/>
      <c r="X282"/>
      <c r="Y282"/>
      <c r="Z282"/>
      <c r="AA282"/>
      <c r="AB282"/>
      <c r="AC282"/>
      <c r="AD282"/>
      <c r="AE282"/>
      <c r="AF282"/>
      <c r="AG282"/>
      <c r="AH282"/>
      <c r="AI282"/>
      <c r="AJ282"/>
      <c r="AK282"/>
      <c r="AL282" s="15"/>
      <c r="AM282"/>
      <c r="AN282" s="542">
        <v>222</v>
      </c>
      <c r="AO282" s="733"/>
      <c r="AP282" s="569"/>
      <c r="AQ282"/>
      <c r="AR282"/>
      <c r="AS282"/>
      <c r="AT282"/>
      <c r="AU282"/>
      <c r="AV282"/>
      <c r="AW282"/>
      <c r="AX282"/>
      <c r="AY282"/>
      <c r="AZ282"/>
      <c r="BA282"/>
      <c r="BB282"/>
      <c r="BC282"/>
      <c r="BD282"/>
      <c r="BE282" s="15"/>
      <c r="BF282"/>
      <c r="BG282" s="542">
        <v>222</v>
      </c>
      <c r="BH282" s="733"/>
      <c r="BI282" s="569"/>
      <c r="BJ282"/>
      <c r="BK282"/>
      <c r="BL282"/>
      <c r="BM282"/>
      <c r="BN282"/>
      <c r="BO282"/>
      <c r="BP282"/>
      <c r="BQ282"/>
      <c r="BR282"/>
      <c r="BS282"/>
      <c r="BT282"/>
      <c r="BU282"/>
      <c r="BV282"/>
      <c r="BW282"/>
      <c r="BX282" s="15"/>
    </row>
    <row r="283" spans="1:76">
      <c r="A283"/>
      <c r="B283" s="542">
        <v>223</v>
      </c>
      <c r="C283" s="733"/>
      <c r="D283" s="569"/>
      <c r="E283"/>
      <c r="F283"/>
      <c r="G283"/>
      <c r="H283"/>
      <c r="I283"/>
      <c r="J283"/>
      <c r="K283"/>
      <c r="L283"/>
      <c r="M283"/>
      <c r="N283"/>
      <c r="O283"/>
      <c r="P283"/>
      <c r="Q283"/>
      <c r="R283"/>
      <c r="S283" s="15"/>
      <c r="T283"/>
      <c r="U283" s="542">
        <v>223</v>
      </c>
      <c r="V283" s="733"/>
      <c r="W283" s="569"/>
      <c r="X283"/>
      <c r="Y283"/>
      <c r="Z283"/>
      <c r="AA283"/>
      <c r="AB283"/>
      <c r="AC283"/>
      <c r="AD283"/>
      <c r="AE283"/>
      <c r="AF283"/>
      <c r="AG283"/>
      <c r="AH283"/>
      <c r="AI283"/>
      <c r="AJ283"/>
      <c r="AK283"/>
      <c r="AL283" s="15"/>
      <c r="AM283"/>
      <c r="AN283" s="542">
        <v>223</v>
      </c>
      <c r="AO283" s="733"/>
      <c r="AP283" s="569"/>
      <c r="AQ283"/>
      <c r="AR283"/>
      <c r="AS283"/>
      <c r="AT283"/>
      <c r="AU283"/>
      <c r="AV283"/>
      <c r="AW283"/>
      <c r="AX283"/>
      <c r="AY283"/>
      <c r="AZ283"/>
      <c r="BA283"/>
      <c r="BB283"/>
      <c r="BC283"/>
      <c r="BD283"/>
      <c r="BE283" s="15"/>
      <c r="BF283"/>
      <c r="BG283" s="542">
        <v>223</v>
      </c>
      <c r="BH283" s="733"/>
      <c r="BI283" s="569"/>
      <c r="BJ283"/>
      <c r="BK283"/>
      <c r="BL283"/>
      <c r="BM283"/>
      <c r="BN283"/>
      <c r="BO283"/>
      <c r="BP283"/>
      <c r="BQ283"/>
      <c r="BR283"/>
      <c r="BS283"/>
      <c r="BT283"/>
      <c r="BU283"/>
      <c r="BV283"/>
      <c r="BW283"/>
      <c r="BX283" s="15"/>
    </row>
    <row r="284" spans="1:76">
      <c r="A284"/>
      <c r="B284" s="542">
        <v>224</v>
      </c>
      <c r="C284" s="733"/>
      <c r="D284" s="569"/>
      <c r="E284"/>
      <c r="F284"/>
      <c r="G284"/>
      <c r="H284"/>
      <c r="I284"/>
      <c r="J284"/>
      <c r="K284"/>
      <c r="L284"/>
      <c r="M284"/>
      <c r="N284"/>
      <c r="O284"/>
      <c r="P284"/>
      <c r="Q284"/>
      <c r="R284"/>
      <c r="S284" s="15"/>
      <c r="T284"/>
      <c r="U284" s="542">
        <v>224</v>
      </c>
      <c r="V284" s="733"/>
      <c r="W284" s="569"/>
      <c r="X284"/>
      <c r="Y284"/>
      <c r="Z284"/>
      <c r="AA284"/>
      <c r="AB284"/>
      <c r="AC284"/>
      <c r="AD284"/>
      <c r="AE284"/>
      <c r="AF284"/>
      <c r="AG284"/>
      <c r="AH284"/>
      <c r="AI284"/>
      <c r="AJ284"/>
      <c r="AK284"/>
      <c r="AL284" s="15"/>
      <c r="AM284"/>
      <c r="AN284" s="542">
        <v>224</v>
      </c>
      <c r="AO284" s="733"/>
      <c r="AP284" s="569"/>
      <c r="AQ284"/>
      <c r="AR284"/>
      <c r="AS284"/>
      <c r="AT284"/>
      <c r="AU284"/>
      <c r="AV284"/>
      <c r="AW284"/>
      <c r="AX284"/>
      <c r="AY284"/>
      <c r="AZ284"/>
      <c r="BA284"/>
      <c r="BB284"/>
      <c r="BC284"/>
      <c r="BD284"/>
      <c r="BE284" s="15"/>
      <c r="BF284"/>
      <c r="BG284" s="542">
        <v>224</v>
      </c>
      <c r="BH284" s="733"/>
      <c r="BI284" s="569"/>
      <c r="BJ284"/>
      <c r="BK284"/>
      <c r="BL284"/>
      <c r="BM284"/>
      <c r="BN284"/>
      <c r="BO284"/>
      <c r="BP284"/>
      <c r="BQ284"/>
      <c r="BR284"/>
      <c r="BS284"/>
      <c r="BT284"/>
      <c r="BU284"/>
      <c r="BV284"/>
      <c r="BW284"/>
      <c r="BX284" s="15"/>
    </row>
    <row r="285" spans="1:76">
      <c r="A285"/>
      <c r="B285" s="542">
        <v>225</v>
      </c>
      <c r="C285" s="733"/>
      <c r="D285" s="569"/>
      <c r="E285"/>
      <c r="F285"/>
      <c r="G285"/>
      <c r="H285"/>
      <c r="I285"/>
      <c r="J285"/>
      <c r="K285"/>
      <c r="L285"/>
      <c r="M285"/>
      <c r="N285"/>
      <c r="O285"/>
      <c r="P285"/>
      <c r="Q285"/>
      <c r="R285"/>
      <c r="S285" s="15"/>
      <c r="T285"/>
      <c r="U285" s="542">
        <v>225</v>
      </c>
      <c r="V285" s="733"/>
      <c r="W285" s="569"/>
      <c r="X285"/>
      <c r="Y285"/>
      <c r="Z285"/>
      <c r="AA285"/>
      <c r="AB285"/>
      <c r="AC285"/>
      <c r="AD285"/>
      <c r="AE285"/>
      <c r="AF285"/>
      <c r="AG285"/>
      <c r="AH285"/>
      <c r="AI285"/>
      <c r="AJ285"/>
      <c r="AK285"/>
      <c r="AL285" s="15"/>
      <c r="AM285"/>
      <c r="AN285" s="542">
        <v>225</v>
      </c>
      <c r="AO285" s="733"/>
      <c r="AP285" s="569"/>
      <c r="AQ285"/>
      <c r="AR285"/>
      <c r="AS285"/>
      <c r="AT285"/>
      <c r="AU285"/>
      <c r="AV285"/>
      <c r="AW285"/>
      <c r="AX285"/>
      <c r="AY285"/>
      <c r="AZ285"/>
      <c r="BA285"/>
      <c r="BB285"/>
      <c r="BC285"/>
      <c r="BD285"/>
      <c r="BE285" s="15"/>
      <c r="BF285"/>
      <c r="BG285" s="542">
        <v>225</v>
      </c>
      <c r="BH285" s="733"/>
      <c r="BI285" s="569"/>
      <c r="BJ285"/>
      <c r="BK285"/>
      <c r="BL285"/>
      <c r="BM285"/>
      <c r="BN285"/>
      <c r="BO285"/>
      <c r="BP285"/>
      <c r="BQ285"/>
      <c r="BR285"/>
      <c r="BS285"/>
      <c r="BT285"/>
      <c r="BU285"/>
      <c r="BV285"/>
      <c r="BW285"/>
      <c r="BX285" s="15"/>
    </row>
    <row r="286" spans="1:76">
      <c r="A286"/>
      <c r="B286" s="542">
        <v>226</v>
      </c>
      <c r="C286" s="733"/>
      <c r="D286" s="569"/>
      <c r="E286"/>
      <c r="F286"/>
      <c r="G286"/>
      <c r="H286"/>
      <c r="I286"/>
      <c r="J286"/>
      <c r="K286"/>
      <c r="L286"/>
      <c r="M286"/>
      <c r="N286"/>
      <c r="O286"/>
      <c r="P286"/>
      <c r="Q286"/>
      <c r="R286"/>
      <c r="S286" s="15"/>
      <c r="T286"/>
      <c r="U286" s="542">
        <v>226</v>
      </c>
      <c r="V286" s="733"/>
      <c r="W286" s="569"/>
      <c r="X286"/>
      <c r="Y286"/>
      <c r="Z286"/>
      <c r="AA286"/>
      <c r="AB286"/>
      <c r="AC286"/>
      <c r="AD286"/>
      <c r="AE286"/>
      <c r="AF286"/>
      <c r="AG286"/>
      <c r="AH286"/>
      <c r="AI286"/>
      <c r="AJ286"/>
      <c r="AK286"/>
      <c r="AL286" s="15"/>
      <c r="AM286"/>
      <c r="AN286" s="542">
        <v>226</v>
      </c>
      <c r="AO286" s="733"/>
      <c r="AP286" s="569"/>
      <c r="AQ286"/>
      <c r="AR286"/>
      <c r="AS286"/>
      <c r="AT286"/>
      <c r="AU286"/>
      <c r="AV286"/>
      <c r="AW286"/>
      <c r="AX286"/>
      <c r="AY286"/>
      <c r="AZ286"/>
      <c r="BA286"/>
      <c r="BB286"/>
      <c r="BC286"/>
      <c r="BD286"/>
      <c r="BE286" s="15"/>
      <c r="BF286"/>
      <c r="BG286" s="542">
        <v>226</v>
      </c>
      <c r="BH286" s="733"/>
      <c r="BI286" s="569"/>
      <c r="BJ286"/>
      <c r="BK286"/>
      <c r="BL286"/>
      <c r="BM286"/>
      <c r="BN286"/>
      <c r="BO286"/>
      <c r="BP286"/>
      <c r="BQ286"/>
      <c r="BR286"/>
      <c r="BS286"/>
      <c r="BT286"/>
      <c r="BU286"/>
      <c r="BV286"/>
      <c r="BW286"/>
      <c r="BX286" s="15"/>
    </row>
    <row r="287" spans="1:76">
      <c r="A287"/>
      <c r="B287" s="542">
        <v>227</v>
      </c>
      <c r="C287" s="733"/>
      <c r="D287" s="569"/>
      <c r="E287"/>
      <c r="F287"/>
      <c r="G287"/>
      <c r="H287"/>
      <c r="I287"/>
      <c r="J287"/>
      <c r="K287"/>
      <c r="L287"/>
      <c r="M287"/>
      <c r="N287"/>
      <c r="O287"/>
      <c r="P287"/>
      <c r="Q287"/>
      <c r="R287"/>
      <c r="S287" s="15"/>
      <c r="T287"/>
      <c r="U287" s="542">
        <v>227</v>
      </c>
      <c r="V287" s="733"/>
      <c r="W287" s="569"/>
      <c r="X287"/>
      <c r="Y287"/>
      <c r="Z287"/>
      <c r="AA287"/>
      <c r="AB287"/>
      <c r="AC287"/>
      <c r="AD287"/>
      <c r="AE287"/>
      <c r="AF287"/>
      <c r="AG287"/>
      <c r="AH287"/>
      <c r="AI287"/>
      <c r="AJ287"/>
      <c r="AK287"/>
      <c r="AL287" s="15"/>
      <c r="AM287"/>
      <c r="AN287" s="542">
        <v>227</v>
      </c>
      <c r="AO287" s="733"/>
      <c r="AP287" s="569"/>
      <c r="AQ287"/>
      <c r="AR287"/>
      <c r="AS287"/>
      <c r="AT287"/>
      <c r="AU287"/>
      <c r="AV287"/>
      <c r="AW287"/>
      <c r="AX287"/>
      <c r="AY287"/>
      <c r="AZ287"/>
      <c r="BA287"/>
      <c r="BB287"/>
      <c r="BC287"/>
      <c r="BD287"/>
      <c r="BE287" s="15"/>
      <c r="BF287"/>
      <c r="BG287" s="542">
        <v>227</v>
      </c>
      <c r="BH287" s="733"/>
      <c r="BI287" s="569"/>
      <c r="BJ287"/>
      <c r="BK287"/>
      <c r="BL287"/>
      <c r="BM287"/>
      <c r="BN287"/>
      <c r="BO287"/>
      <c r="BP287"/>
      <c r="BQ287"/>
      <c r="BR287"/>
      <c r="BS287"/>
      <c r="BT287"/>
      <c r="BU287"/>
      <c r="BV287"/>
      <c r="BW287"/>
      <c r="BX287" s="15"/>
    </row>
    <row r="288" spans="1:76">
      <c r="A288"/>
      <c r="B288" s="542">
        <v>228</v>
      </c>
      <c r="C288" s="733"/>
      <c r="D288" s="569"/>
      <c r="E288"/>
      <c r="F288"/>
      <c r="G288"/>
      <c r="H288"/>
      <c r="I288"/>
      <c r="J288"/>
      <c r="K288"/>
      <c r="L288"/>
      <c r="M288"/>
      <c r="N288"/>
      <c r="O288"/>
      <c r="P288"/>
      <c r="Q288"/>
      <c r="R288"/>
      <c r="S288" s="15"/>
      <c r="T288"/>
      <c r="U288" s="542">
        <v>228</v>
      </c>
      <c r="V288" s="733"/>
      <c r="W288" s="569"/>
      <c r="X288"/>
      <c r="Y288"/>
      <c r="Z288"/>
      <c r="AA288"/>
      <c r="AB288"/>
      <c r="AC288"/>
      <c r="AD288"/>
      <c r="AE288"/>
      <c r="AF288"/>
      <c r="AG288"/>
      <c r="AH288"/>
      <c r="AI288"/>
      <c r="AJ288"/>
      <c r="AK288"/>
      <c r="AL288" s="15"/>
      <c r="AM288"/>
      <c r="AN288" s="542">
        <v>228</v>
      </c>
      <c r="AO288" s="733"/>
      <c r="AP288" s="569"/>
      <c r="AQ288"/>
      <c r="AR288"/>
      <c r="AS288"/>
      <c r="AT288"/>
      <c r="AU288"/>
      <c r="AV288"/>
      <c r="AW288"/>
      <c r="AX288"/>
      <c r="AY288"/>
      <c r="AZ288"/>
      <c r="BA288"/>
      <c r="BB288"/>
      <c r="BC288"/>
      <c r="BD288"/>
      <c r="BE288" s="15"/>
      <c r="BF288"/>
      <c r="BG288" s="542">
        <v>228</v>
      </c>
      <c r="BH288" s="733"/>
      <c r="BI288" s="569"/>
      <c r="BJ288"/>
      <c r="BK288"/>
      <c r="BL288"/>
      <c r="BM288"/>
      <c r="BN288"/>
      <c r="BO288"/>
      <c r="BP288"/>
      <c r="BQ288"/>
      <c r="BR288"/>
      <c r="BS288"/>
      <c r="BT288"/>
      <c r="BU288"/>
      <c r="BV288"/>
      <c r="BW288"/>
      <c r="BX288" s="15"/>
    </row>
    <row r="289" spans="1:76">
      <c r="A289"/>
      <c r="B289" s="542">
        <v>229</v>
      </c>
      <c r="C289" s="733"/>
      <c r="D289" s="569"/>
      <c r="E289"/>
      <c r="F289"/>
      <c r="G289"/>
      <c r="H289"/>
      <c r="I289"/>
      <c r="J289"/>
      <c r="K289"/>
      <c r="L289"/>
      <c r="M289"/>
      <c r="N289"/>
      <c r="O289"/>
      <c r="P289"/>
      <c r="Q289"/>
      <c r="R289"/>
      <c r="S289" s="15"/>
      <c r="T289"/>
      <c r="U289" s="542">
        <v>229</v>
      </c>
      <c r="V289" s="733"/>
      <c r="W289" s="569"/>
      <c r="X289"/>
      <c r="Y289"/>
      <c r="Z289"/>
      <c r="AA289"/>
      <c r="AB289"/>
      <c r="AC289"/>
      <c r="AD289"/>
      <c r="AE289"/>
      <c r="AF289"/>
      <c r="AG289"/>
      <c r="AH289"/>
      <c r="AI289"/>
      <c r="AJ289"/>
      <c r="AK289"/>
      <c r="AL289" s="15"/>
      <c r="AM289"/>
      <c r="AN289" s="542">
        <v>229</v>
      </c>
      <c r="AO289" s="733"/>
      <c r="AP289" s="569"/>
      <c r="AQ289"/>
      <c r="AR289"/>
      <c r="AS289"/>
      <c r="AT289"/>
      <c r="AU289"/>
      <c r="AV289"/>
      <c r="AW289"/>
      <c r="AX289"/>
      <c r="AY289"/>
      <c r="AZ289"/>
      <c r="BA289"/>
      <c r="BB289"/>
      <c r="BC289"/>
      <c r="BD289"/>
      <c r="BE289" s="15"/>
      <c r="BF289"/>
      <c r="BG289" s="542">
        <v>229</v>
      </c>
      <c r="BH289" s="733"/>
      <c r="BI289" s="569"/>
      <c r="BJ289"/>
      <c r="BK289"/>
      <c r="BL289"/>
      <c r="BM289"/>
      <c r="BN289"/>
      <c r="BO289"/>
      <c r="BP289"/>
      <c r="BQ289"/>
      <c r="BR289"/>
      <c r="BS289"/>
      <c r="BT289"/>
      <c r="BU289"/>
      <c r="BV289"/>
      <c r="BW289"/>
      <c r="BX289" s="15"/>
    </row>
    <row r="290" spans="1:76">
      <c r="A290"/>
      <c r="B290" s="542">
        <v>230</v>
      </c>
      <c r="C290" s="733"/>
      <c r="D290" s="569"/>
      <c r="E290"/>
      <c r="F290"/>
      <c r="G290"/>
      <c r="H290"/>
      <c r="I290"/>
      <c r="J290"/>
      <c r="K290"/>
      <c r="L290"/>
      <c r="M290"/>
      <c r="N290"/>
      <c r="O290"/>
      <c r="P290"/>
      <c r="Q290"/>
      <c r="R290"/>
      <c r="S290" s="15"/>
      <c r="T290"/>
      <c r="U290" s="542">
        <v>230</v>
      </c>
      <c r="V290" s="733"/>
      <c r="W290" s="569"/>
      <c r="X290"/>
      <c r="Y290"/>
      <c r="Z290"/>
      <c r="AA290"/>
      <c r="AB290"/>
      <c r="AC290"/>
      <c r="AD290"/>
      <c r="AE290"/>
      <c r="AF290"/>
      <c r="AG290"/>
      <c r="AH290"/>
      <c r="AI290"/>
      <c r="AJ290"/>
      <c r="AK290"/>
      <c r="AL290" s="15"/>
      <c r="AM290"/>
      <c r="AN290" s="542">
        <v>230</v>
      </c>
      <c r="AO290" s="733"/>
      <c r="AP290" s="569"/>
      <c r="AQ290"/>
      <c r="AR290"/>
      <c r="AS290"/>
      <c r="AT290"/>
      <c r="AU290"/>
      <c r="AV290"/>
      <c r="AW290"/>
      <c r="AX290"/>
      <c r="AY290"/>
      <c r="AZ290"/>
      <c r="BA290"/>
      <c r="BB290"/>
      <c r="BC290"/>
      <c r="BD290"/>
      <c r="BE290" s="15"/>
      <c r="BF290"/>
      <c r="BG290" s="542">
        <v>230</v>
      </c>
      <c r="BH290" s="733"/>
      <c r="BI290" s="569"/>
      <c r="BJ290"/>
      <c r="BK290"/>
      <c r="BL290"/>
      <c r="BM290"/>
      <c r="BN290"/>
      <c r="BO290"/>
      <c r="BP290"/>
      <c r="BQ290"/>
      <c r="BR290"/>
      <c r="BS290"/>
      <c r="BT290"/>
      <c r="BU290"/>
      <c r="BV290"/>
      <c r="BW290"/>
      <c r="BX290" s="15"/>
    </row>
    <row r="291" spans="1:76">
      <c r="A291"/>
      <c r="B291" s="542">
        <v>231</v>
      </c>
      <c r="C291" s="733"/>
      <c r="D291" s="569"/>
      <c r="E291"/>
      <c r="F291"/>
      <c r="G291"/>
      <c r="H291"/>
      <c r="I291"/>
      <c r="J291"/>
      <c r="K291"/>
      <c r="L291"/>
      <c r="M291"/>
      <c r="N291"/>
      <c r="O291"/>
      <c r="P291"/>
      <c r="Q291"/>
      <c r="R291"/>
      <c r="S291" s="15"/>
      <c r="T291"/>
      <c r="U291" s="542">
        <v>231</v>
      </c>
      <c r="V291" s="733"/>
      <c r="W291" s="569"/>
      <c r="X291"/>
      <c r="Y291"/>
      <c r="Z291"/>
      <c r="AA291"/>
      <c r="AB291"/>
      <c r="AC291"/>
      <c r="AD291"/>
      <c r="AE291"/>
      <c r="AF291"/>
      <c r="AG291"/>
      <c r="AH291"/>
      <c r="AI291"/>
      <c r="AJ291"/>
      <c r="AK291"/>
      <c r="AL291" s="15"/>
      <c r="AM291"/>
      <c r="AN291" s="542">
        <v>231</v>
      </c>
      <c r="AO291" s="733"/>
      <c r="AP291" s="569"/>
      <c r="AQ291"/>
      <c r="AR291"/>
      <c r="AS291"/>
      <c r="AT291"/>
      <c r="AU291"/>
      <c r="AV291"/>
      <c r="AW291"/>
      <c r="AX291"/>
      <c r="AY291"/>
      <c r="AZ291"/>
      <c r="BA291"/>
      <c r="BB291"/>
      <c r="BC291"/>
      <c r="BD291"/>
      <c r="BE291" s="15"/>
      <c r="BF291"/>
      <c r="BG291" s="542">
        <v>231</v>
      </c>
      <c r="BH291" s="733"/>
      <c r="BI291" s="569"/>
      <c r="BJ291"/>
      <c r="BK291"/>
      <c r="BL291"/>
      <c r="BM291"/>
      <c r="BN291"/>
      <c r="BO291"/>
      <c r="BP291"/>
      <c r="BQ291"/>
      <c r="BR291"/>
      <c r="BS291"/>
      <c r="BT291"/>
      <c r="BU291"/>
      <c r="BV291"/>
      <c r="BW291"/>
      <c r="BX291" s="15"/>
    </row>
    <row r="292" spans="1:76">
      <c r="A292"/>
      <c r="B292" s="542">
        <v>232</v>
      </c>
      <c r="C292" s="733"/>
      <c r="D292" s="569"/>
      <c r="E292"/>
      <c r="F292"/>
      <c r="G292"/>
      <c r="H292"/>
      <c r="I292"/>
      <c r="J292"/>
      <c r="K292"/>
      <c r="L292"/>
      <c r="M292"/>
      <c r="N292"/>
      <c r="O292"/>
      <c r="P292"/>
      <c r="Q292"/>
      <c r="R292"/>
      <c r="S292" s="15"/>
      <c r="T292"/>
      <c r="U292" s="542">
        <v>232</v>
      </c>
      <c r="V292" s="733"/>
      <c r="W292" s="569"/>
      <c r="X292"/>
      <c r="Y292"/>
      <c r="Z292"/>
      <c r="AA292"/>
      <c r="AB292"/>
      <c r="AC292"/>
      <c r="AD292"/>
      <c r="AE292"/>
      <c r="AF292"/>
      <c r="AG292"/>
      <c r="AH292"/>
      <c r="AI292"/>
      <c r="AJ292"/>
      <c r="AK292"/>
      <c r="AL292" s="15"/>
      <c r="AM292"/>
      <c r="AN292" s="542">
        <v>232</v>
      </c>
      <c r="AO292" s="733"/>
      <c r="AP292" s="569"/>
      <c r="AQ292"/>
      <c r="AR292"/>
      <c r="AS292"/>
      <c r="AT292"/>
      <c r="AU292"/>
      <c r="AV292"/>
      <c r="AW292"/>
      <c r="AX292"/>
      <c r="AY292"/>
      <c r="AZ292"/>
      <c r="BA292"/>
      <c r="BB292"/>
      <c r="BC292"/>
      <c r="BD292"/>
      <c r="BE292" s="15"/>
      <c r="BF292"/>
      <c r="BG292" s="542">
        <v>232</v>
      </c>
      <c r="BH292" s="733"/>
      <c r="BI292" s="569"/>
      <c r="BJ292"/>
      <c r="BK292"/>
      <c r="BL292"/>
      <c r="BM292"/>
      <c r="BN292"/>
      <c r="BO292"/>
      <c r="BP292"/>
      <c r="BQ292"/>
      <c r="BR292"/>
      <c r="BS292"/>
      <c r="BT292"/>
      <c r="BU292"/>
      <c r="BV292"/>
      <c r="BW292"/>
      <c r="BX292" s="15"/>
    </row>
    <row r="293" spans="1:76">
      <c r="A293"/>
      <c r="B293" s="542">
        <v>233</v>
      </c>
      <c r="C293" s="733"/>
      <c r="D293" s="569"/>
      <c r="E293"/>
      <c r="F293"/>
      <c r="G293"/>
      <c r="H293"/>
      <c r="I293"/>
      <c r="J293"/>
      <c r="K293"/>
      <c r="L293"/>
      <c r="M293"/>
      <c r="N293"/>
      <c r="O293"/>
      <c r="P293"/>
      <c r="Q293"/>
      <c r="R293"/>
      <c r="S293" s="15"/>
      <c r="T293"/>
      <c r="U293" s="542">
        <v>233</v>
      </c>
      <c r="V293" s="733"/>
      <c r="W293" s="569"/>
      <c r="X293"/>
      <c r="Y293"/>
      <c r="Z293"/>
      <c r="AA293"/>
      <c r="AB293"/>
      <c r="AC293"/>
      <c r="AD293"/>
      <c r="AE293"/>
      <c r="AF293"/>
      <c r="AG293"/>
      <c r="AH293"/>
      <c r="AI293"/>
      <c r="AJ293"/>
      <c r="AK293"/>
      <c r="AL293" s="15"/>
      <c r="AM293"/>
      <c r="AN293" s="542">
        <v>233</v>
      </c>
      <c r="AO293" s="733"/>
      <c r="AP293" s="569"/>
      <c r="AQ293"/>
      <c r="AR293"/>
      <c r="AS293"/>
      <c r="AT293"/>
      <c r="AU293"/>
      <c r="AV293"/>
      <c r="AW293"/>
      <c r="AX293"/>
      <c r="AY293"/>
      <c r="AZ293"/>
      <c r="BA293"/>
      <c r="BB293"/>
      <c r="BC293"/>
      <c r="BD293"/>
      <c r="BE293" s="15"/>
      <c r="BF293"/>
      <c r="BG293" s="542">
        <v>233</v>
      </c>
      <c r="BH293" s="733"/>
      <c r="BI293" s="569"/>
      <c r="BJ293"/>
      <c r="BK293"/>
      <c r="BL293"/>
      <c r="BM293"/>
      <c r="BN293"/>
      <c r="BO293"/>
      <c r="BP293"/>
      <c r="BQ293"/>
      <c r="BR293"/>
      <c r="BS293"/>
      <c r="BT293"/>
      <c r="BU293"/>
      <c r="BV293"/>
      <c r="BW293"/>
      <c r="BX293" s="15"/>
    </row>
    <row r="294" spans="1:76">
      <c r="A294"/>
      <c r="B294" s="542">
        <v>234</v>
      </c>
      <c r="C294" s="733"/>
      <c r="D294" s="569"/>
      <c r="E294"/>
      <c r="F294"/>
      <c r="G294"/>
      <c r="H294"/>
      <c r="I294"/>
      <c r="J294"/>
      <c r="K294"/>
      <c r="L294"/>
      <c r="M294"/>
      <c r="N294"/>
      <c r="O294"/>
      <c r="P294"/>
      <c r="Q294"/>
      <c r="R294"/>
      <c r="S294" s="15"/>
      <c r="T294"/>
      <c r="U294" s="542">
        <v>234</v>
      </c>
      <c r="V294" s="733"/>
      <c r="W294" s="569"/>
      <c r="X294"/>
      <c r="Y294"/>
      <c r="Z294"/>
      <c r="AA294"/>
      <c r="AB294"/>
      <c r="AC294"/>
      <c r="AD294"/>
      <c r="AE294"/>
      <c r="AF294"/>
      <c r="AG294"/>
      <c r="AH294"/>
      <c r="AI294"/>
      <c r="AJ294"/>
      <c r="AK294"/>
      <c r="AL294" s="15"/>
      <c r="AM294"/>
      <c r="AN294" s="542">
        <v>234</v>
      </c>
      <c r="AO294" s="733"/>
      <c r="AP294" s="569"/>
      <c r="AQ294"/>
      <c r="AR294"/>
      <c r="AS294"/>
      <c r="AT294"/>
      <c r="AU294"/>
      <c r="AV294"/>
      <c r="AW294"/>
      <c r="AX294"/>
      <c r="AY294"/>
      <c r="AZ294"/>
      <c r="BA294"/>
      <c r="BB294"/>
      <c r="BC294"/>
      <c r="BD294"/>
      <c r="BE294" s="15"/>
      <c r="BF294"/>
      <c r="BG294" s="542">
        <v>234</v>
      </c>
      <c r="BH294" s="733"/>
      <c r="BI294" s="569"/>
      <c r="BJ294"/>
      <c r="BK294"/>
      <c r="BL294"/>
      <c r="BM294"/>
      <c r="BN294"/>
      <c r="BO294"/>
      <c r="BP294"/>
      <c r="BQ294"/>
      <c r="BR294"/>
      <c r="BS294"/>
      <c r="BT294"/>
      <c r="BU294"/>
      <c r="BV294"/>
      <c r="BW294"/>
      <c r="BX294" s="15"/>
    </row>
    <row r="295" spans="1:76">
      <c r="A295"/>
      <c r="B295" s="542">
        <v>235</v>
      </c>
      <c r="C295" s="733"/>
      <c r="D295" s="569"/>
      <c r="E295"/>
      <c r="F295"/>
      <c r="G295"/>
      <c r="H295"/>
      <c r="I295"/>
      <c r="J295"/>
      <c r="K295"/>
      <c r="L295"/>
      <c r="M295"/>
      <c r="N295"/>
      <c r="O295"/>
      <c r="P295"/>
      <c r="Q295"/>
      <c r="R295"/>
      <c r="S295" s="15"/>
      <c r="T295"/>
      <c r="U295" s="542">
        <v>235</v>
      </c>
      <c r="V295" s="733"/>
      <c r="W295" s="569"/>
      <c r="X295"/>
      <c r="Y295"/>
      <c r="Z295"/>
      <c r="AA295"/>
      <c r="AB295"/>
      <c r="AC295"/>
      <c r="AD295"/>
      <c r="AE295"/>
      <c r="AF295"/>
      <c r="AG295"/>
      <c r="AH295"/>
      <c r="AI295"/>
      <c r="AJ295"/>
      <c r="AK295"/>
      <c r="AL295" s="15"/>
      <c r="AM295"/>
      <c r="AN295" s="542">
        <v>235</v>
      </c>
      <c r="AO295" s="733"/>
      <c r="AP295" s="569"/>
      <c r="AQ295"/>
      <c r="AR295"/>
      <c r="AS295"/>
      <c r="AT295"/>
      <c r="AU295"/>
      <c r="AV295"/>
      <c r="AW295"/>
      <c r="AX295"/>
      <c r="AY295"/>
      <c r="AZ295"/>
      <c r="BA295"/>
      <c r="BB295"/>
      <c r="BC295"/>
      <c r="BD295"/>
      <c r="BE295" s="15"/>
      <c r="BF295"/>
      <c r="BG295" s="542">
        <v>235</v>
      </c>
      <c r="BH295" s="733"/>
      <c r="BI295" s="569"/>
      <c r="BJ295"/>
      <c r="BK295"/>
      <c r="BL295"/>
      <c r="BM295"/>
      <c r="BN295"/>
      <c r="BO295"/>
      <c r="BP295"/>
      <c r="BQ295"/>
      <c r="BR295"/>
      <c r="BS295"/>
      <c r="BT295"/>
      <c r="BU295"/>
      <c r="BV295"/>
      <c r="BW295"/>
      <c r="BX295" s="15"/>
    </row>
    <row r="296" spans="1:76">
      <c r="A296"/>
      <c r="B296" s="542">
        <v>236</v>
      </c>
      <c r="C296" s="733"/>
      <c r="D296" s="569"/>
      <c r="E296"/>
      <c r="F296"/>
      <c r="G296"/>
      <c r="H296"/>
      <c r="I296"/>
      <c r="J296"/>
      <c r="K296"/>
      <c r="L296"/>
      <c r="M296"/>
      <c r="N296"/>
      <c r="O296"/>
      <c r="P296"/>
      <c r="Q296"/>
      <c r="R296"/>
      <c r="S296" s="15"/>
      <c r="T296"/>
      <c r="U296" s="542">
        <v>236</v>
      </c>
      <c r="V296" s="733"/>
      <c r="W296" s="569"/>
      <c r="X296"/>
      <c r="Y296"/>
      <c r="Z296"/>
      <c r="AA296"/>
      <c r="AB296"/>
      <c r="AC296"/>
      <c r="AD296"/>
      <c r="AE296"/>
      <c r="AF296"/>
      <c r="AG296"/>
      <c r="AH296"/>
      <c r="AI296"/>
      <c r="AJ296"/>
      <c r="AK296"/>
      <c r="AL296" s="15"/>
      <c r="AM296"/>
      <c r="AN296" s="542">
        <v>236</v>
      </c>
      <c r="AO296" s="733"/>
      <c r="AP296" s="569"/>
      <c r="AQ296"/>
      <c r="AR296"/>
      <c r="AS296"/>
      <c r="AT296"/>
      <c r="AU296"/>
      <c r="AV296"/>
      <c r="AW296"/>
      <c r="AX296"/>
      <c r="AY296"/>
      <c r="AZ296"/>
      <c r="BA296"/>
      <c r="BB296"/>
      <c r="BC296"/>
      <c r="BD296"/>
      <c r="BE296" s="15"/>
      <c r="BF296"/>
      <c r="BG296" s="542">
        <v>236</v>
      </c>
      <c r="BH296" s="733"/>
      <c r="BI296" s="569"/>
      <c r="BJ296"/>
      <c r="BK296"/>
      <c r="BL296"/>
      <c r="BM296"/>
      <c r="BN296"/>
      <c r="BO296"/>
      <c r="BP296"/>
      <c r="BQ296"/>
      <c r="BR296"/>
      <c r="BS296"/>
      <c r="BT296"/>
      <c r="BU296"/>
      <c r="BV296"/>
      <c r="BW296"/>
      <c r="BX296" s="15"/>
    </row>
    <row r="297" spans="1:76">
      <c r="A297"/>
      <c r="B297" s="542">
        <v>237</v>
      </c>
      <c r="C297" s="733"/>
      <c r="D297" s="569"/>
      <c r="E297"/>
      <c r="F297"/>
      <c r="G297"/>
      <c r="H297"/>
      <c r="I297"/>
      <c r="J297"/>
      <c r="K297"/>
      <c r="L297"/>
      <c r="M297"/>
      <c r="N297"/>
      <c r="O297"/>
      <c r="P297"/>
      <c r="Q297"/>
      <c r="R297"/>
      <c r="S297" s="15"/>
      <c r="T297"/>
      <c r="U297" s="542">
        <v>237</v>
      </c>
      <c r="V297" s="733"/>
      <c r="W297" s="569"/>
      <c r="X297"/>
      <c r="Y297"/>
      <c r="Z297"/>
      <c r="AA297"/>
      <c r="AB297"/>
      <c r="AC297"/>
      <c r="AD297"/>
      <c r="AE297"/>
      <c r="AF297"/>
      <c r="AG297"/>
      <c r="AH297"/>
      <c r="AI297"/>
      <c r="AJ297"/>
      <c r="AK297"/>
      <c r="AL297" s="15"/>
      <c r="AM297"/>
      <c r="AN297" s="542">
        <v>237</v>
      </c>
      <c r="AO297" s="733"/>
      <c r="AP297" s="569"/>
      <c r="AQ297"/>
      <c r="AR297"/>
      <c r="AS297"/>
      <c r="AT297"/>
      <c r="AU297"/>
      <c r="AV297"/>
      <c r="AW297"/>
      <c r="AX297"/>
      <c r="AY297"/>
      <c r="AZ297"/>
      <c r="BA297"/>
      <c r="BB297"/>
      <c r="BC297"/>
      <c r="BD297"/>
      <c r="BE297" s="15"/>
      <c r="BF297"/>
      <c r="BG297" s="542">
        <v>237</v>
      </c>
      <c r="BH297" s="733"/>
      <c r="BI297" s="569"/>
      <c r="BJ297"/>
      <c r="BK297"/>
      <c r="BL297"/>
      <c r="BM297"/>
      <c r="BN297"/>
      <c r="BO297"/>
      <c r="BP297"/>
      <c r="BQ297"/>
      <c r="BR297"/>
      <c r="BS297"/>
      <c r="BT297"/>
      <c r="BU297"/>
      <c r="BV297"/>
      <c r="BW297"/>
      <c r="BX297" s="15"/>
    </row>
    <row r="298" spans="1:76">
      <c r="A298"/>
      <c r="B298" s="542">
        <v>238</v>
      </c>
      <c r="C298" s="733"/>
      <c r="D298" s="569"/>
      <c r="E298"/>
      <c r="F298"/>
      <c r="G298"/>
      <c r="H298"/>
      <c r="I298"/>
      <c r="J298"/>
      <c r="K298"/>
      <c r="L298"/>
      <c r="M298"/>
      <c r="N298"/>
      <c r="O298"/>
      <c r="P298"/>
      <c r="Q298"/>
      <c r="R298"/>
      <c r="S298" s="15"/>
      <c r="T298"/>
      <c r="U298" s="542">
        <v>238</v>
      </c>
      <c r="V298" s="733"/>
      <c r="W298" s="569"/>
      <c r="X298"/>
      <c r="Y298"/>
      <c r="Z298"/>
      <c r="AA298"/>
      <c r="AB298"/>
      <c r="AC298"/>
      <c r="AD298"/>
      <c r="AE298"/>
      <c r="AF298"/>
      <c r="AG298"/>
      <c r="AH298"/>
      <c r="AI298"/>
      <c r="AJ298"/>
      <c r="AK298"/>
      <c r="AL298" s="15"/>
      <c r="AM298"/>
      <c r="AN298" s="542">
        <v>238</v>
      </c>
      <c r="AO298" s="733"/>
      <c r="AP298" s="569"/>
      <c r="AQ298"/>
      <c r="AR298"/>
      <c r="AS298"/>
      <c r="AT298"/>
      <c r="AU298"/>
      <c r="AV298"/>
      <c r="AW298"/>
      <c r="AX298"/>
      <c r="AY298"/>
      <c r="AZ298"/>
      <c r="BA298"/>
      <c r="BB298"/>
      <c r="BC298"/>
      <c r="BD298"/>
      <c r="BE298" s="15"/>
      <c r="BF298"/>
      <c r="BG298" s="542">
        <v>238</v>
      </c>
      <c r="BH298" s="733"/>
      <c r="BI298" s="569"/>
      <c r="BJ298"/>
      <c r="BK298"/>
      <c r="BL298"/>
      <c r="BM298"/>
      <c r="BN298"/>
      <c r="BO298"/>
      <c r="BP298"/>
      <c r="BQ298"/>
      <c r="BR298"/>
      <c r="BS298"/>
      <c r="BT298"/>
      <c r="BU298"/>
      <c r="BV298"/>
      <c r="BW298"/>
      <c r="BX298" s="15"/>
    </row>
    <row r="299" spans="1:76">
      <c r="A299"/>
      <c r="B299" s="542">
        <v>239</v>
      </c>
      <c r="C299" s="733"/>
      <c r="D299" s="569"/>
      <c r="E299"/>
      <c r="F299"/>
      <c r="G299"/>
      <c r="H299"/>
      <c r="I299"/>
      <c r="J299"/>
      <c r="K299"/>
      <c r="L299"/>
      <c r="M299"/>
      <c r="N299"/>
      <c r="O299"/>
      <c r="P299"/>
      <c r="Q299"/>
      <c r="R299"/>
      <c r="S299" s="15"/>
      <c r="T299"/>
      <c r="U299" s="542">
        <v>239</v>
      </c>
      <c r="V299" s="733"/>
      <c r="W299" s="569"/>
      <c r="X299"/>
      <c r="Y299"/>
      <c r="Z299"/>
      <c r="AA299"/>
      <c r="AB299"/>
      <c r="AC299"/>
      <c r="AD299"/>
      <c r="AE299"/>
      <c r="AF299"/>
      <c r="AG299"/>
      <c r="AH299"/>
      <c r="AI299"/>
      <c r="AJ299"/>
      <c r="AK299"/>
      <c r="AL299" s="15"/>
      <c r="AM299"/>
      <c r="AN299" s="542">
        <v>239</v>
      </c>
      <c r="AO299" s="733"/>
      <c r="AP299" s="569"/>
      <c r="AQ299"/>
      <c r="AR299"/>
      <c r="AS299"/>
      <c r="AT299"/>
      <c r="AU299"/>
      <c r="AV299"/>
      <c r="AW299"/>
      <c r="AX299"/>
      <c r="AY299"/>
      <c r="AZ299"/>
      <c r="BA299"/>
      <c r="BB299"/>
      <c r="BC299"/>
      <c r="BD299"/>
      <c r="BE299" s="15"/>
      <c r="BF299"/>
      <c r="BG299" s="542">
        <v>239</v>
      </c>
      <c r="BH299" s="733"/>
      <c r="BI299" s="569"/>
      <c r="BJ299"/>
      <c r="BK299"/>
      <c r="BL299"/>
      <c r="BM299"/>
      <c r="BN299"/>
      <c r="BO299"/>
      <c r="BP299"/>
      <c r="BQ299"/>
      <c r="BR299"/>
      <c r="BS299"/>
      <c r="BT299"/>
      <c r="BU299"/>
      <c r="BV299"/>
      <c r="BW299"/>
      <c r="BX299" s="15"/>
    </row>
    <row r="300" spans="1:76">
      <c r="A300"/>
      <c r="B300" s="542">
        <v>240</v>
      </c>
      <c r="C300" s="733"/>
      <c r="D300" s="569"/>
      <c r="E300"/>
      <c r="F300"/>
      <c r="G300"/>
      <c r="H300"/>
      <c r="I300"/>
      <c r="J300"/>
      <c r="K300"/>
      <c r="L300"/>
      <c r="M300"/>
      <c r="N300"/>
      <c r="O300"/>
      <c r="P300"/>
      <c r="Q300"/>
      <c r="R300"/>
      <c r="S300" s="15"/>
      <c r="T300"/>
      <c r="U300" s="542">
        <v>240</v>
      </c>
      <c r="V300" s="733"/>
      <c r="W300" s="569"/>
      <c r="X300"/>
      <c r="Y300"/>
      <c r="Z300"/>
      <c r="AA300"/>
      <c r="AB300"/>
      <c r="AC300"/>
      <c r="AD300"/>
      <c r="AE300"/>
      <c r="AF300"/>
      <c r="AG300"/>
      <c r="AH300"/>
      <c r="AI300"/>
      <c r="AJ300"/>
      <c r="AK300"/>
      <c r="AL300" s="15"/>
      <c r="AM300"/>
      <c r="AN300" s="542">
        <v>240</v>
      </c>
      <c r="AO300" s="733"/>
      <c r="AP300" s="569"/>
      <c r="AQ300"/>
      <c r="AR300"/>
      <c r="AS300"/>
      <c r="AT300"/>
      <c r="AU300"/>
      <c r="AV300"/>
      <c r="AW300"/>
      <c r="AX300"/>
      <c r="AY300"/>
      <c r="AZ300"/>
      <c r="BA300"/>
      <c r="BB300"/>
      <c r="BC300"/>
      <c r="BD300"/>
      <c r="BE300" s="15"/>
      <c r="BF300"/>
      <c r="BG300" s="542">
        <v>240</v>
      </c>
      <c r="BH300" s="733"/>
      <c r="BI300" s="569"/>
      <c r="BJ300"/>
      <c r="BK300"/>
      <c r="BL300"/>
      <c r="BM300"/>
      <c r="BN300"/>
      <c r="BO300"/>
      <c r="BP300"/>
      <c r="BQ300"/>
      <c r="BR300"/>
      <c r="BS300"/>
      <c r="BT300"/>
      <c r="BU300"/>
      <c r="BV300"/>
      <c r="BW300"/>
      <c r="BX300" s="15"/>
    </row>
    <row r="301" spans="1:76">
      <c r="A301"/>
      <c r="B301" s="542">
        <v>241</v>
      </c>
      <c r="C301" s="733"/>
      <c r="D301" s="569"/>
      <c r="E301"/>
      <c r="F301"/>
      <c r="G301"/>
      <c r="H301"/>
      <c r="I301"/>
      <c r="J301"/>
      <c r="K301"/>
      <c r="L301"/>
      <c r="M301"/>
      <c r="N301"/>
      <c r="O301"/>
      <c r="P301"/>
      <c r="Q301"/>
      <c r="R301"/>
      <c r="S301" s="15"/>
      <c r="T301"/>
      <c r="U301" s="542">
        <v>241</v>
      </c>
      <c r="V301" s="733"/>
      <c r="W301" s="569"/>
      <c r="X301"/>
      <c r="Y301"/>
      <c r="Z301"/>
      <c r="AA301"/>
      <c r="AB301"/>
      <c r="AC301"/>
      <c r="AD301"/>
      <c r="AE301"/>
      <c r="AF301"/>
      <c r="AG301"/>
      <c r="AH301"/>
      <c r="AI301"/>
      <c r="AJ301"/>
      <c r="AK301"/>
      <c r="AL301" s="15"/>
      <c r="AM301"/>
      <c r="AN301" s="542">
        <v>241</v>
      </c>
      <c r="AO301" s="733"/>
      <c r="AP301" s="569"/>
      <c r="AQ301"/>
      <c r="AR301"/>
      <c r="AS301"/>
      <c r="AT301"/>
      <c r="AU301"/>
      <c r="AV301"/>
      <c r="AW301"/>
      <c r="AX301"/>
      <c r="AY301"/>
      <c r="AZ301"/>
      <c r="BA301"/>
      <c r="BB301"/>
      <c r="BC301"/>
      <c r="BD301"/>
      <c r="BE301" s="15"/>
      <c r="BF301"/>
      <c r="BG301" s="542">
        <v>241</v>
      </c>
      <c r="BH301" s="733"/>
      <c r="BI301" s="569"/>
      <c r="BJ301"/>
      <c r="BK301"/>
      <c r="BL301"/>
      <c r="BM301"/>
      <c r="BN301"/>
      <c r="BO301"/>
      <c r="BP301"/>
      <c r="BQ301"/>
      <c r="BR301"/>
      <c r="BS301"/>
      <c r="BT301"/>
      <c r="BU301"/>
      <c r="BV301"/>
      <c r="BW301"/>
      <c r="BX301" s="15"/>
    </row>
    <row r="302" spans="1:76">
      <c r="A302"/>
      <c r="B302" s="542">
        <v>242</v>
      </c>
      <c r="C302" s="733"/>
      <c r="D302" s="569"/>
      <c r="E302"/>
      <c r="F302"/>
      <c r="G302"/>
      <c r="H302"/>
      <c r="I302"/>
      <c r="J302"/>
      <c r="K302"/>
      <c r="L302"/>
      <c r="M302"/>
      <c r="N302"/>
      <c r="O302"/>
      <c r="P302"/>
      <c r="Q302"/>
      <c r="R302"/>
      <c r="S302" s="15"/>
      <c r="T302"/>
      <c r="U302" s="542">
        <v>242</v>
      </c>
      <c r="V302" s="733"/>
      <c r="W302" s="569"/>
      <c r="X302"/>
      <c r="Y302"/>
      <c r="Z302"/>
      <c r="AA302"/>
      <c r="AB302"/>
      <c r="AC302"/>
      <c r="AD302"/>
      <c r="AE302"/>
      <c r="AF302"/>
      <c r="AG302"/>
      <c r="AH302"/>
      <c r="AI302"/>
      <c r="AJ302"/>
      <c r="AK302"/>
      <c r="AL302" s="15"/>
      <c r="AM302"/>
      <c r="AN302" s="542">
        <v>242</v>
      </c>
      <c r="AO302" s="733"/>
      <c r="AP302" s="569"/>
      <c r="AQ302"/>
      <c r="AR302"/>
      <c r="AS302"/>
      <c r="AT302"/>
      <c r="AU302"/>
      <c r="AV302"/>
      <c r="AW302"/>
      <c r="AX302"/>
      <c r="AY302"/>
      <c r="AZ302"/>
      <c r="BA302"/>
      <c r="BB302"/>
      <c r="BC302"/>
      <c r="BD302"/>
      <c r="BE302" s="15"/>
      <c r="BF302"/>
      <c r="BG302" s="542">
        <v>242</v>
      </c>
      <c r="BH302" s="733"/>
      <c r="BI302" s="569"/>
      <c r="BJ302"/>
      <c r="BK302"/>
      <c r="BL302"/>
      <c r="BM302"/>
      <c r="BN302"/>
      <c r="BO302"/>
      <c r="BP302"/>
      <c r="BQ302"/>
      <c r="BR302"/>
      <c r="BS302"/>
      <c r="BT302"/>
      <c r="BU302"/>
      <c r="BV302"/>
      <c r="BW302"/>
      <c r="BX302" s="15"/>
    </row>
    <row r="303" spans="1:76">
      <c r="A303"/>
      <c r="B303" s="542">
        <v>243</v>
      </c>
      <c r="C303" s="733"/>
      <c r="D303" s="569"/>
      <c r="E303"/>
      <c r="F303"/>
      <c r="G303"/>
      <c r="H303"/>
      <c r="I303"/>
      <c r="J303"/>
      <c r="K303"/>
      <c r="L303"/>
      <c r="M303"/>
      <c r="N303"/>
      <c r="O303"/>
      <c r="P303"/>
      <c r="Q303"/>
      <c r="R303"/>
      <c r="S303" s="15"/>
      <c r="T303"/>
      <c r="U303" s="542">
        <v>243</v>
      </c>
      <c r="V303" s="733"/>
      <c r="W303" s="569"/>
      <c r="X303"/>
      <c r="Y303"/>
      <c r="Z303"/>
      <c r="AA303"/>
      <c r="AB303"/>
      <c r="AC303"/>
      <c r="AD303"/>
      <c r="AE303"/>
      <c r="AF303"/>
      <c r="AG303"/>
      <c r="AH303"/>
      <c r="AI303"/>
      <c r="AJ303"/>
      <c r="AK303"/>
      <c r="AL303" s="15"/>
      <c r="AM303"/>
      <c r="AN303" s="542">
        <v>243</v>
      </c>
      <c r="AO303" s="733"/>
      <c r="AP303" s="569"/>
      <c r="AQ303"/>
      <c r="AR303"/>
      <c r="AS303"/>
      <c r="AT303"/>
      <c r="AU303"/>
      <c r="AV303"/>
      <c r="AW303"/>
      <c r="AX303"/>
      <c r="AY303"/>
      <c r="AZ303"/>
      <c r="BA303"/>
      <c r="BB303"/>
      <c r="BC303"/>
      <c r="BD303"/>
      <c r="BE303" s="15"/>
      <c r="BF303"/>
      <c r="BG303" s="542">
        <v>243</v>
      </c>
      <c r="BH303" s="733"/>
      <c r="BI303" s="569"/>
      <c r="BJ303"/>
      <c r="BK303"/>
      <c r="BL303"/>
      <c r="BM303"/>
      <c r="BN303"/>
      <c r="BO303"/>
      <c r="BP303"/>
      <c r="BQ303"/>
      <c r="BR303"/>
      <c r="BS303"/>
      <c r="BT303"/>
      <c r="BU303"/>
      <c r="BV303"/>
      <c r="BW303"/>
      <c r="BX303" s="15"/>
    </row>
    <row r="304" spans="1:76">
      <c r="A304"/>
      <c r="B304" s="542">
        <v>244</v>
      </c>
      <c r="C304" s="733"/>
      <c r="D304" s="569"/>
      <c r="E304"/>
      <c r="F304"/>
      <c r="G304"/>
      <c r="H304"/>
      <c r="I304"/>
      <c r="J304"/>
      <c r="K304"/>
      <c r="L304"/>
      <c r="M304"/>
      <c r="N304"/>
      <c r="O304"/>
      <c r="P304"/>
      <c r="Q304"/>
      <c r="R304"/>
      <c r="S304" s="15"/>
      <c r="T304"/>
      <c r="U304" s="542">
        <v>244</v>
      </c>
      <c r="V304" s="733"/>
      <c r="W304" s="569"/>
      <c r="X304"/>
      <c r="Y304"/>
      <c r="Z304"/>
      <c r="AA304"/>
      <c r="AB304"/>
      <c r="AC304"/>
      <c r="AD304"/>
      <c r="AE304"/>
      <c r="AF304"/>
      <c r="AG304"/>
      <c r="AH304"/>
      <c r="AI304"/>
      <c r="AJ304"/>
      <c r="AK304"/>
      <c r="AL304" s="15"/>
      <c r="AM304"/>
      <c r="AN304" s="542">
        <v>244</v>
      </c>
      <c r="AO304" s="733"/>
      <c r="AP304" s="569"/>
      <c r="AQ304"/>
      <c r="AR304"/>
      <c r="AS304"/>
      <c r="AT304"/>
      <c r="AU304"/>
      <c r="AV304"/>
      <c r="AW304"/>
      <c r="AX304"/>
      <c r="AY304"/>
      <c r="AZ304"/>
      <c r="BA304"/>
      <c r="BB304"/>
      <c r="BC304"/>
      <c r="BD304"/>
      <c r="BE304" s="15"/>
      <c r="BF304"/>
      <c r="BG304" s="542">
        <v>244</v>
      </c>
      <c r="BH304" s="733"/>
      <c r="BI304" s="569"/>
      <c r="BJ304"/>
      <c r="BK304"/>
      <c r="BL304"/>
      <c r="BM304"/>
      <c r="BN304"/>
      <c r="BO304"/>
      <c r="BP304"/>
      <c r="BQ304"/>
      <c r="BR304"/>
      <c r="BS304"/>
      <c r="BT304"/>
      <c r="BU304"/>
      <c r="BV304"/>
      <c r="BW304"/>
      <c r="BX304" s="15"/>
    </row>
    <row r="305" spans="1:76">
      <c r="A305"/>
      <c r="B305" s="542">
        <v>245</v>
      </c>
      <c r="C305" s="733"/>
      <c r="D305" s="569"/>
      <c r="E305"/>
      <c r="F305"/>
      <c r="G305"/>
      <c r="H305"/>
      <c r="I305"/>
      <c r="J305"/>
      <c r="K305"/>
      <c r="L305"/>
      <c r="M305"/>
      <c r="N305"/>
      <c r="O305"/>
      <c r="P305"/>
      <c r="Q305"/>
      <c r="R305"/>
      <c r="S305" s="15"/>
      <c r="T305"/>
      <c r="U305" s="542">
        <v>245</v>
      </c>
      <c r="V305" s="733"/>
      <c r="W305" s="569"/>
      <c r="X305"/>
      <c r="Y305"/>
      <c r="Z305"/>
      <c r="AA305"/>
      <c r="AB305"/>
      <c r="AC305"/>
      <c r="AD305"/>
      <c r="AE305"/>
      <c r="AF305"/>
      <c r="AG305"/>
      <c r="AH305"/>
      <c r="AI305"/>
      <c r="AJ305"/>
      <c r="AK305"/>
      <c r="AL305" s="15"/>
      <c r="AM305"/>
      <c r="AN305" s="542">
        <v>245</v>
      </c>
      <c r="AO305" s="733"/>
      <c r="AP305" s="569"/>
      <c r="AQ305"/>
      <c r="AR305"/>
      <c r="AS305"/>
      <c r="AT305"/>
      <c r="AU305"/>
      <c r="AV305"/>
      <c r="AW305"/>
      <c r="AX305"/>
      <c r="AY305"/>
      <c r="AZ305"/>
      <c r="BA305"/>
      <c r="BB305"/>
      <c r="BC305"/>
      <c r="BD305"/>
      <c r="BE305" s="15"/>
      <c r="BF305"/>
      <c r="BG305" s="542">
        <v>245</v>
      </c>
      <c r="BH305" s="733"/>
      <c r="BI305" s="569"/>
      <c r="BJ305"/>
      <c r="BK305"/>
      <c r="BL305"/>
      <c r="BM305"/>
      <c r="BN305"/>
      <c r="BO305"/>
      <c r="BP305"/>
      <c r="BQ305"/>
      <c r="BR305"/>
      <c r="BS305"/>
      <c r="BT305"/>
      <c r="BU305"/>
      <c r="BV305"/>
      <c r="BW305"/>
      <c r="BX305" s="15"/>
    </row>
    <row r="306" spans="1:76">
      <c r="A306"/>
      <c r="B306" s="542">
        <v>246</v>
      </c>
      <c r="C306" s="733"/>
      <c r="D306" s="569"/>
      <c r="E306"/>
      <c r="F306"/>
      <c r="G306"/>
      <c r="H306"/>
      <c r="I306"/>
      <c r="J306"/>
      <c r="K306"/>
      <c r="L306"/>
      <c r="M306"/>
      <c r="N306"/>
      <c r="O306"/>
      <c r="P306"/>
      <c r="Q306"/>
      <c r="R306"/>
      <c r="S306" s="15"/>
      <c r="T306"/>
      <c r="U306" s="542">
        <v>246</v>
      </c>
      <c r="V306" s="733"/>
      <c r="W306" s="569"/>
      <c r="X306"/>
      <c r="Y306"/>
      <c r="Z306"/>
      <c r="AA306"/>
      <c r="AB306"/>
      <c r="AC306"/>
      <c r="AD306"/>
      <c r="AE306"/>
      <c r="AF306"/>
      <c r="AG306"/>
      <c r="AH306"/>
      <c r="AI306"/>
      <c r="AJ306"/>
      <c r="AK306"/>
      <c r="AL306" s="15"/>
      <c r="AM306"/>
      <c r="AN306" s="542">
        <v>246</v>
      </c>
      <c r="AO306" s="733"/>
      <c r="AP306" s="569"/>
      <c r="AQ306"/>
      <c r="AR306"/>
      <c r="AS306"/>
      <c r="AT306"/>
      <c r="AU306"/>
      <c r="AV306"/>
      <c r="AW306"/>
      <c r="AX306"/>
      <c r="AY306"/>
      <c r="AZ306"/>
      <c r="BA306"/>
      <c r="BB306"/>
      <c r="BC306"/>
      <c r="BD306"/>
      <c r="BE306" s="15"/>
      <c r="BF306"/>
      <c r="BG306" s="542">
        <v>246</v>
      </c>
      <c r="BH306" s="733"/>
      <c r="BI306" s="569"/>
      <c r="BJ306"/>
      <c r="BK306"/>
      <c r="BL306"/>
      <c r="BM306"/>
      <c r="BN306"/>
      <c r="BO306"/>
      <c r="BP306"/>
      <c r="BQ306"/>
      <c r="BR306"/>
      <c r="BS306"/>
      <c r="BT306"/>
      <c r="BU306"/>
      <c r="BV306"/>
      <c r="BW306"/>
      <c r="BX306" s="15"/>
    </row>
    <row r="307" spans="1:76">
      <c r="A307"/>
      <c r="B307" s="542">
        <v>247</v>
      </c>
      <c r="C307" s="733"/>
      <c r="D307" s="569"/>
      <c r="E307"/>
      <c r="F307"/>
      <c r="G307"/>
      <c r="H307"/>
      <c r="I307"/>
      <c r="J307"/>
      <c r="K307"/>
      <c r="L307"/>
      <c r="M307"/>
      <c r="N307"/>
      <c r="O307"/>
      <c r="P307"/>
      <c r="Q307"/>
      <c r="R307"/>
      <c r="S307" s="15"/>
      <c r="T307"/>
      <c r="U307" s="542">
        <v>247</v>
      </c>
      <c r="V307" s="733"/>
      <c r="W307" s="569"/>
      <c r="X307"/>
      <c r="Y307"/>
      <c r="Z307"/>
      <c r="AA307"/>
      <c r="AB307"/>
      <c r="AC307"/>
      <c r="AD307"/>
      <c r="AE307"/>
      <c r="AF307"/>
      <c r="AG307"/>
      <c r="AH307"/>
      <c r="AI307"/>
      <c r="AJ307"/>
      <c r="AK307"/>
      <c r="AL307" s="15"/>
      <c r="AM307"/>
      <c r="AN307" s="542">
        <v>247</v>
      </c>
      <c r="AO307" s="733"/>
      <c r="AP307" s="569"/>
      <c r="AQ307"/>
      <c r="AR307"/>
      <c r="AS307"/>
      <c r="AT307"/>
      <c r="AU307"/>
      <c r="AV307"/>
      <c r="AW307"/>
      <c r="AX307"/>
      <c r="AY307"/>
      <c r="AZ307"/>
      <c r="BA307"/>
      <c r="BB307"/>
      <c r="BC307"/>
      <c r="BD307"/>
      <c r="BE307" s="15"/>
      <c r="BF307"/>
      <c r="BG307" s="542">
        <v>247</v>
      </c>
      <c r="BH307" s="733"/>
      <c r="BI307" s="569"/>
      <c r="BJ307"/>
      <c r="BK307"/>
      <c r="BL307"/>
      <c r="BM307"/>
      <c r="BN307"/>
      <c r="BO307"/>
      <c r="BP307"/>
      <c r="BQ307"/>
      <c r="BR307"/>
      <c r="BS307"/>
      <c r="BT307"/>
      <c r="BU307"/>
      <c r="BV307"/>
      <c r="BW307"/>
      <c r="BX307" s="15"/>
    </row>
    <row r="308" spans="1:76">
      <c r="A308"/>
      <c r="B308" s="542">
        <v>248</v>
      </c>
      <c r="C308" s="733"/>
      <c r="D308" s="569"/>
      <c r="E308"/>
      <c r="F308"/>
      <c r="G308"/>
      <c r="H308"/>
      <c r="I308"/>
      <c r="J308"/>
      <c r="K308"/>
      <c r="L308"/>
      <c r="M308"/>
      <c r="N308"/>
      <c r="O308"/>
      <c r="P308"/>
      <c r="Q308"/>
      <c r="R308"/>
      <c r="S308" s="15"/>
      <c r="T308"/>
      <c r="U308" s="542">
        <v>248</v>
      </c>
      <c r="V308" s="733"/>
      <c r="W308" s="569"/>
      <c r="X308"/>
      <c r="Y308"/>
      <c r="Z308"/>
      <c r="AA308"/>
      <c r="AB308"/>
      <c r="AC308"/>
      <c r="AD308"/>
      <c r="AE308"/>
      <c r="AF308"/>
      <c r="AG308"/>
      <c r="AH308"/>
      <c r="AI308"/>
      <c r="AJ308"/>
      <c r="AK308"/>
      <c r="AL308" s="15"/>
      <c r="AM308"/>
      <c r="AN308" s="542">
        <v>248</v>
      </c>
      <c r="AO308" s="733"/>
      <c r="AP308" s="569"/>
      <c r="AQ308"/>
      <c r="AR308"/>
      <c r="AS308"/>
      <c r="AT308"/>
      <c r="AU308"/>
      <c r="AV308"/>
      <c r="AW308"/>
      <c r="AX308"/>
      <c r="AY308"/>
      <c r="AZ308"/>
      <c r="BA308"/>
      <c r="BB308"/>
      <c r="BC308"/>
      <c r="BD308"/>
      <c r="BE308" s="15"/>
      <c r="BF308"/>
      <c r="BG308" s="542">
        <v>248</v>
      </c>
      <c r="BH308" s="733"/>
      <c r="BI308" s="569"/>
      <c r="BJ308"/>
      <c r="BK308"/>
      <c r="BL308"/>
      <c r="BM308"/>
      <c r="BN308"/>
      <c r="BO308"/>
      <c r="BP308"/>
      <c r="BQ308"/>
      <c r="BR308"/>
      <c r="BS308"/>
      <c r="BT308"/>
      <c r="BU308"/>
      <c r="BV308"/>
      <c r="BW308"/>
      <c r="BX308" s="15"/>
    </row>
    <row r="309" spans="1:76">
      <c r="A309"/>
      <c r="B309" s="542">
        <v>249</v>
      </c>
      <c r="C309" s="733"/>
      <c r="D309" s="569"/>
      <c r="E309"/>
      <c r="F309"/>
      <c r="G309"/>
      <c r="H309"/>
      <c r="I309"/>
      <c r="J309"/>
      <c r="K309"/>
      <c r="L309"/>
      <c r="M309"/>
      <c r="N309"/>
      <c r="O309"/>
      <c r="P309"/>
      <c r="Q309"/>
      <c r="R309"/>
      <c r="S309" s="15"/>
      <c r="T309"/>
      <c r="U309" s="542">
        <v>249</v>
      </c>
      <c r="V309" s="733"/>
      <c r="W309" s="569"/>
      <c r="X309"/>
      <c r="Y309"/>
      <c r="Z309"/>
      <c r="AA309"/>
      <c r="AB309"/>
      <c r="AC309"/>
      <c r="AD309"/>
      <c r="AE309"/>
      <c r="AF309"/>
      <c r="AG309"/>
      <c r="AH309"/>
      <c r="AI309"/>
      <c r="AJ309"/>
      <c r="AK309"/>
      <c r="AL309" s="15"/>
      <c r="AM309"/>
      <c r="AN309" s="542">
        <v>249</v>
      </c>
      <c r="AO309" s="733"/>
      <c r="AP309" s="569"/>
      <c r="AQ309"/>
      <c r="AR309"/>
      <c r="AS309"/>
      <c r="AT309"/>
      <c r="AU309"/>
      <c r="AV309"/>
      <c r="AW309"/>
      <c r="AX309"/>
      <c r="AY309"/>
      <c r="AZ309"/>
      <c r="BA309"/>
      <c r="BB309"/>
      <c r="BC309"/>
      <c r="BD309"/>
      <c r="BE309" s="15"/>
      <c r="BF309"/>
      <c r="BG309" s="542">
        <v>249</v>
      </c>
      <c r="BH309" s="733"/>
      <c r="BI309" s="569"/>
      <c r="BJ309"/>
      <c r="BK309"/>
      <c r="BL309"/>
      <c r="BM309"/>
      <c r="BN309"/>
      <c r="BO309"/>
      <c r="BP309"/>
      <c r="BQ309"/>
      <c r="BR309"/>
      <c r="BS309"/>
      <c r="BT309"/>
      <c r="BU309"/>
      <c r="BV309"/>
      <c r="BW309"/>
      <c r="BX309" s="15"/>
    </row>
    <row r="310" spans="1:76">
      <c r="A310"/>
      <c r="B310" s="542">
        <v>250</v>
      </c>
      <c r="C310" s="733"/>
      <c r="D310" s="569"/>
      <c r="E310"/>
      <c r="F310"/>
      <c r="G310"/>
      <c r="H310"/>
      <c r="I310"/>
      <c r="J310"/>
      <c r="K310"/>
      <c r="L310"/>
      <c r="M310"/>
      <c r="N310"/>
      <c r="O310"/>
      <c r="P310"/>
      <c r="Q310"/>
      <c r="R310"/>
      <c r="S310" s="15"/>
      <c r="T310"/>
      <c r="U310" s="542">
        <v>250</v>
      </c>
      <c r="V310" s="733"/>
      <c r="W310" s="569"/>
      <c r="X310"/>
      <c r="Y310"/>
      <c r="Z310"/>
      <c r="AA310"/>
      <c r="AB310"/>
      <c r="AC310"/>
      <c r="AD310"/>
      <c r="AE310"/>
      <c r="AF310"/>
      <c r="AG310"/>
      <c r="AH310"/>
      <c r="AI310"/>
      <c r="AJ310"/>
      <c r="AK310"/>
      <c r="AL310" s="15"/>
      <c r="AM310"/>
      <c r="AN310" s="542">
        <v>250</v>
      </c>
      <c r="AO310" s="733"/>
      <c r="AP310" s="569"/>
      <c r="AQ310"/>
      <c r="AR310"/>
      <c r="AS310"/>
      <c r="AT310"/>
      <c r="AU310"/>
      <c r="AV310"/>
      <c r="AW310"/>
      <c r="AX310"/>
      <c r="AY310"/>
      <c r="AZ310"/>
      <c r="BA310"/>
      <c r="BB310"/>
      <c r="BC310"/>
      <c r="BD310"/>
      <c r="BE310" s="15"/>
      <c r="BF310"/>
      <c r="BG310" s="542">
        <v>250</v>
      </c>
      <c r="BH310" s="733"/>
      <c r="BI310" s="569"/>
      <c r="BJ310"/>
      <c r="BK310"/>
      <c r="BL310"/>
      <c r="BM310"/>
      <c r="BN310"/>
      <c r="BO310"/>
      <c r="BP310"/>
      <c r="BQ310"/>
      <c r="BR310"/>
      <c r="BS310"/>
      <c r="BT310"/>
      <c r="BU310"/>
      <c r="BV310"/>
      <c r="BW310"/>
      <c r="BX310" s="15"/>
    </row>
    <row r="311" spans="1:76">
      <c r="A311"/>
      <c r="B311" s="542">
        <v>251</v>
      </c>
      <c r="C311" s="733"/>
      <c r="D311" s="569"/>
      <c r="E311"/>
      <c r="F311"/>
      <c r="G311"/>
      <c r="H311"/>
      <c r="I311"/>
      <c r="J311"/>
      <c r="K311"/>
      <c r="L311"/>
      <c r="M311"/>
      <c r="N311"/>
      <c r="O311"/>
      <c r="P311"/>
      <c r="Q311"/>
      <c r="R311"/>
      <c r="S311" s="15"/>
      <c r="T311"/>
      <c r="U311" s="542">
        <v>251</v>
      </c>
      <c r="V311" s="733"/>
      <c r="W311" s="569"/>
      <c r="X311"/>
      <c r="Y311"/>
      <c r="Z311"/>
      <c r="AA311"/>
      <c r="AB311"/>
      <c r="AC311"/>
      <c r="AD311"/>
      <c r="AE311"/>
      <c r="AF311"/>
      <c r="AG311"/>
      <c r="AH311"/>
      <c r="AI311"/>
      <c r="AJ311"/>
      <c r="AK311"/>
      <c r="AL311" s="15"/>
      <c r="AM311"/>
      <c r="AN311" s="542">
        <v>251</v>
      </c>
      <c r="AO311" s="733"/>
      <c r="AP311" s="569"/>
      <c r="AQ311"/>
      <c r="AR311"/>
      <c r="AS311"/>
      <c r="AT311"/>
      <c r="AU311"/>
      <c r="AV311"/>
      <c r="AW311"/>
      <c r="AX311"/>
      <c r="AY311"/>
      <c r="AZ311"/>
      <c r="BA311"/>
      <c r="BB311"/>
      <c r="BC311"/>
      <c r="BD311"/>
      <c r="BE311" s="15"/>
      <c r="BF311"/>
      <c r="BG311" s="542">
        <v>251</v>
      </c>
      <c r="BH311" s="733"/>
      <c r="BI311" s="569"/>
      <c r="BJ311"/>
      <c r="BK311"/>
      <c r="BL311"/>
      <c r="BM311"/>
      <c r="BN311"/>
      <c r="BO311"/>
      <c r="BP311"/>
      <c r="BQ311"/>
      <c r="BR311"/>
      <c r="BS311"/>
      <c r="BT311"/>
      <c r="BU311"/>
      <c r="BV311"/>
      <c r="BW311"/>
      <c r="BX311" s="15"/>
    </row>
    <row r="312" spans="1:76">
      <c r="A312"/>
      <c r="B312" s="542">
        <v>252</v>
      </c>
      <c r="C312" s="733"/>
      <c r="D312" s="569"/>
      <c r="E312"/>
      <c r="F312"/>
      <c r="G312"/>
      <c r="H312"/>
      <c r="I312"/>
      <c r="J312"/>
      <c r="K312"/>
      <c r="L312"/>
      <c r="M312"/>
      <c r="N312"/>
      <c r="O312"/>
      <c r="P312"/>
      <c r="Q312"/>
      <c r="R312"/>
      <c r="S312" s="15"/>
      <c r="T312"/>
      <c r="U312" s="542">
        <v>252</v>
      </c>
      <c r="V312" s="733"/>
      <c r="W312" s="569"/>
      <c r="X312"/>
      <c r="Y312"/>
      <c r="Z312"/>
      <c r="AA312"/>
      <c r="AB312"/>
      <c r="AC312"/>
      <c r="AD312"/>
      <c r="AE312"/>
      <c r="AF312"/>
      <c r="AG312"/>
      <c r="AH312"/>
      <c r="AI312"/>
      <c r="AJ312"/>
      <c r="AK312"/>
      <c r="AL312" s="15"/>
      <c r="AM312"/>
      <c r="AN312" s="542">
        <v>252</v>
      </c>
      <c r="AO312" s="733"/>
      <c r="AP312" s="569"/>
      <c r="AQ312"/>
      <c r="AR312"/>
      <c r="AS312"/>
      <c r="AT312"/>
      <c r="AU312"/>
      <c r="AV312"/>
      <c r="AW312"/>
      <c r="AX312"/>
      <c r="AY312"/>
      <c r="AZ312"/>
      <c r="BA312"/>
      <c r="BB312"/>
      <c r="BC312"/>
      <c r="BD312"/>
      <c r="BE312" s="15"/>
      <c r="BF312"/>
      <c r="BG312" s="542">
        <v>252</v>
      </c>
      <c r="BH312" s="733"/>
      <c r="BI312" s="569"/>
      <c r="BJ312"/>
      <c r="BK312"/>
      <c r="BL312"/>
      <c r="BM312"/>
      <c r="BN312"/>
      <c r="BO312"/>
      <c r="BP312"/>
      <c r="BQ312"/>
      <c r="BR312"/>
      <c r="BS312"/>
      <c r="BT312"/>
      <c r="BU312"/>
      <c r="BV312"/>
      <c r="BW312"/>
      <c r="BX312" s="15"/>
    </row>
    <row r="313" spans="1:76">
      <c r="A313"/>
      <c r="B313" s="542">
        <v>253</v>
      </c>
      <c r="C313" s="733"/>
      <c r="D313" s="569"/>
      <c r="E313"/>
      <c r="F313"/>
      <c r="G313"/>
      <c r="H313"/>
      <c r="I313"/>
      <c r="J313"/>
      <c r="K313"/>
      <c r="L313"/>
      <c r="M313"/>
      <c r="N313"/>
      <c r="O313"/>
      <c r="P313"/>
      <c r="Q313"/>
      <c r="R313"/>
      <c r="S313" s="15"/>
      <c r="T313"/>
      <c r="U313" s="542">
        <v>253</v>
      </c>
      <c r="V313" s="733"/>
      <c r="W313" s="569"/>
      <c r="X313"/>
      <c r="Y313"/>
      <c r="Z313"/>
      <c r="AA313"/>
      <c r="AB313"/>
      <c r="AC313"/>
      <c r="AD313"/>
      <c r="AE313"/>
      <c r="AF313"/>
      <c r="AG313"/>
      <c r="AH313"/>
      <c r="AI313"/>
      <c r="AJ313"/>
      <c r="AK313"/>
      <c r="AL313" s="15"/>
      <c r="AM313"/>
      <c r="AN313" s="542">
        <v>253</v>
      </c>
      <c r="AO313" s="733"/>
      <c r="AP313" s="569"/>
      <c r="AQ313"/>
      <c r="AR313"/>
      <c r="AS313"/>
      <c r="AT313"/>
      <c r="AU313"/>
      <c r="AV313"/>
      <c r="AW313"/>
      <c r="AX313"/>
      <c r="AY313"/>
      <c r="AZ313"/>
      <c r="BA313"/>
      <c r="BB313"/>
      <c r="BC313"/>
      <c r="BD313"/>
      <c r="BE313" s="15"/>
      <c r="BF313"/>
      <c r="BG313" s="542">
        <v>253</v>
      </c>
      <c r="BH313" s="733"/>
      <c r="BI313" s="569"/>
      <c r="BJ313"/>
      <c r="BK313"/>
      <c r="BL313"/>
      <c r="BM313"/>
      <c r="BN313"/>
      <c r="BO313"/>
      <c r="BP313"/>
      <c r="BQ313"/>
      <c r="BR313"/>
      <c r="BS313"/>
      <c r="BT313"/>
      <c r="BU313"/>
      <c r="BV313"/>
      <c r="BW313"/>
      <c r="BX313" s="15"/>
    </row>
    <row r="314" spans="1:76">
      <c r="A314"/>
      <c r="B314" s="542">
        <v>254</v>
      </c>
      <c r="C314" s="733"/>
      <c r="D314" s="569"/>
      <c r="E314"/>
      <c r="F314"/>
      <c r="G314"/>
      <c r="H314"/>
      <c r="I314"/>
      <c r="J314"/>
      <c r="K314"/>
      <c r="L314"/>
      <c r="M314"/>
      <c r="N314"/>
      <c r="O314"/>
      <c r="P314"/>
      <c r="Q314"/>
      <c r="R314"/>
      <c r="S314" s="15"/>
      <c r="T314"/>
      <c r="U314" s="542">
        <v>254</v>
      </c>
      <c r="V314" s="733"/>
      <c r="W314" s="569"/>
      <c r="X314"/>
      <c r="Y314"/>
      <c r="Z314"/>
      <c r="AA314"/>
      <c r="AB314"/>
      <c r="AC314"/>
      <c r="AD314"/>
      <c r="AE314"/>
      <c r="AF314"/>
      <c r="AG314"/>
      <c r="AH314"/>
      <c r="AI314"/>
      <c r="AJ314"/>
      <c r="AK314"/>
      <c r="AL314" s="15"/>
      <c r="AM314"/>
      <c r="AN314" s="542">
        <v>254</v>
      </c>
      <c r="AO314" s="733"/>
      <c r="AP314" s="569"/>
      <c r="AQ314"/>
      <c r="AR314"/>
      <c r="AS314"/>
      <c r="AT314"/>
      <c r="AU314"/>
      <c r="AV314"/>
      <c r="AW314"/>
      <c r="AX314"/>
      <c r="AY314"/>
      <c r="AZ314"/>
      <c r="BA314"/>
      <c r="BB314"/>
      <c r="BC314"/>
      <c r="BD314"/>
      <c r="BE314" s="15"/>
      <c r="BF314"/>
      <c r="BG314" s="542">
        <v>254</v>
      </c>
      <c r="BH314" s="733"/>
      <c r="BI314" s="569"/>
      <c r="BJ314"/>
      <c r="BK314"/>
      <c r="BL314"/>
      <c r="BM314"/>
      <c r="BN314"/>
      <c r="BO314"/>
      <c r="BP314"/>
      <c r="BQ314"/>
      <c r="BR314"/>
      <c r="BS314"/>
      <c r="BT314"/>
      <c r="BU314"/>
      <c r="BV314"/>
      <c r="BW314"/>
      <c r="BX314" s="15"/>
    </row>
    <row r="315" spans="1:76">
      <c r="A315"/>
      <c r="B315" s="542">
        <v>255</v>
      </c>
      <c r="C315" s="733"/>
      <c r="D315" s="569"/>
      <c r="E315"/>
      <c r="F315"/>
      <c r="G315"/>
      <c r="H315"/>
      <c r="I315"/>
      <c r="J315"/>
      <c r="K315"/>
      <c r="L315"/>
      <c r="M315"/>
      <c r="N315"/>
      <c r="O315"/>
      <c r="P315"/>
      <c r="Q315"/>
      <c r="R315"/>
      <c r="S315" s="15"/>
      <c r="T315"/>
      <c r="U315" s="542">
        <v>255</v>
      </c>
      <c r="V315" s="733"/>
      <c r="W315" s="569"/>
      <c r="X315"/>
      <c r="Y315"/>
      <c r="Z315"/>
      <c r="AA315"/>
      <c r="AB315"/>
      <c r="AC315"/>
      <c r="AD315"/>
      <c r="AE315"/>
      <c r="AF315"/>
      <c r="AG315"/>
      <c r="AH315"/>
      <c r="AI315"/>
      <c r="AJ315"/>
      <c r="AK315"/>
      <c r="AL315" s="15"/>
      <c r="AM315"/>
      <c r="AN315" s="542">
        <v>255</v>
      </c>
      <c r="AO315" s="733"/>
      <c r="AP315" s="569"/>
      <c r="AQ315"/>
      <c r="AR315"/>
      <c r="AS315"/>
      <c r="AT315"/>
      <c r="AU315"/>
      <c r="AV315"/>
      <c r="AW315"/>
      <c r="AX315"/>
      <c r="AY315"/>
      <c r="AZ315"/>
      <c r="BA315"/>
      <c r="BB315"/>
      <c r="BC315"/>
      <c r="BD315"/>
      <c r="BE315" s="15"/>
      <c r="BF315"/>
      <c r="BG315" s="542">
        <v>255</v>
      </c>
      <c r="BH315" s="733"/>
      <c r="BI315" s="569"/>
      <c r="BJ315"/>
      <c r="BK315"/>
      <c r="BL315"/>
      <c r="BM315"/>
      <c r="BN315"/>
      <c r="BO315"/>
      <c r="BP315"/>
      <c r="BQ315"/>
      <c r="BR315"/>
      <c r="BS315"/>
      <c r="BT315"/>
      <c r="BU315"/>
      <c r="BV315"/>
      <c r="BW315"/>
      <c r="BX315" s="15"/>
    </row>
    <row r="316" spans="1:76">
      <c r="A316"/>
      <c r="B316" s="542">
        <v>256</v>
      </c>
      <c r="C316" s="733"/>
      <c r="D316" s="569"/>
      <c r="E316"/>
      <c r="F316"/>
      <c r="G316"/>
      <c r="H316"/>
      <c r="I316"/>
      <c r="J316"/>
      <c r="K316"/>
      <c r="L316"/>
      <c r="M316"/>
      <c r="N316"/>
      <c r="O316"/>
      <c r="P316"/>
      <c r="Q316"/>
      <c r="R316"/>
      <c r="S316" s="15"/>
      <c r="T316"/>
      <c r="U316" s="542">
        <v>256</v>
      </c>
      <c r="V316" s="733"/>
      <c r="W316" s="569"/>
      <c r="X316"/>
      <c r="Y316"/>
      <c r="Z316"/>
      <c r="AA316"/>
      <c r="AB316"/>
      <c r="AC316"/>
      <c r="AD316"/>
      <c r="AE316"/>
      <c r="AF316"/>
      <c r="AG316"/>
      <c r="AH316"/>
      <c r="AI316"/>
      <c r="AJ316"/>
      <c r="AK316"/>
      <c r="AL316" s="15"/>
      <c r="AM316"/>
      <c r="AN316" s="542">
        <v>256</v>
      </c>
      <c r="AO316" s="733"/>
      <c r="AP316" s="569"/>
      <c r="AQ316"/>
      <c r="AR316"/>
      <c r="AS316"/>
      <c r="AT316"/>
      <c r="AU316"/>
      <c r="AV316"/>
      <c r="AW316"/>
      <c r="AX316"/>
      <c r="AY316"/>
      <c r="AZ316"/>
      <c r="BA316"/>
      <c r="BB316"/>
      <c r="BC316"/>
      <c r="BD316"/>
      <c r="BE316" s="15"/>
      <c r="BF316"/>
      <c r="BG316" s="542">
        <v>256</v>
      </c>
      <c r="BH316" s="733"/>
      <c r="BI316" s="569"/>
      <c r="BJ316"/>
      <c r="BK316"/>
      <c r="BL316"/>
      <c r="BM316"/>
      <c r="BN316"/>
      <c r="BO316"/>
      <c r="BP316"/>
      <c r="BQ316"/>
      <c r="BR316"/>
      <c r="BS316"/>
      <c r="BT316"/>
      <c r="BU316"/>
      <c r="BV316"/>
      <c r="BW316"/>
      <c r="BX316" s="15"/>
    </row>
    <row r="317" spans="1:76">
      <c r="A317"/>
      <c r="B317" s="542">
        <v>257</v>
      </c>
      <c r="C317" s="733"/>
      <c r="D317" s="569"/>
      <c r="E317"/>
      <c r="F317"/>
      <c r="G317"/>
      <c r="H317"/>
      <c r="I317"/>
      <c r="J317"/>
      <c r="K317"/>
      <c r="L317"/>
      <c r="M317"/>
      <c r="N317"/>
      <c r="O317"/>
      <c r="P317"/>
      <c r="Q317"/>
      <c r="R317"/>
      <c r="S317" s="15"/>
      <c r="T317"/>
      <c r="U317" s="542">
        <v>257</v>
      </c>
      <c r="V317" s="733"/>
      <c r="W317" s="569"/>
      <c r="X317"/>
      <c r="Y317"/>
      <c r="Z317"/>
      <c r="AA317"/>
      <c r="AB317"/>
      <c r="AC317"/>
      <c r="AD317"/>
      <c r="AE317"/>
      <c r="AF317"/>
      <c r="AG317"/>
      <c r="AH317"/>
      <c r="AI317"/>
      <c r="AJ317"/>
      <c r="AK317"/>
      <c r="AL317" s="15"/>
      <c r="AM317"/>
      <c r="AN317" s="542">
        <v>257</v>
      </c>
      <c r="AO317" s="733"/>
      <c r="AP317" s="569"/>
      <c r="AQ317"/>
      <c r="AR317"/>
      <c r="AS317"/>
      <c r="AT317"/>
      <c r="AU317"/>
      <c r="AV317"/>
      <c r="AW317"/>
      <c r="AX317"/>
      <c r="AY317"/>
      <c r="AZ317"/>
      <c r="BA317"/>
      <c r="BB317"/>
      <c r="BC317"/>
      <c r="BD317"/>
      <c r="BE317" s="15"/>
      <c r="BF317"/>
      <c r="BG317" s="542">
        <v>257</v>
      </c>
      <c r="BH317" s="733"/>
      <c r="BI317" s="569"/>
      <c r="BJ317"/>
      <c r="BK317"/>
      <c r="BL317"/>
      <c r="BM317"/>
      <c r="BN317"/>
      <c r="BO317"/>
      <c r="BP317"/>
      <c r="BQ317"/>
      <c r="BR317"/>
      <c r="BS317"/>
      <c r="BT317"/>
      <c r="BU317"/>
      <c r="BV317"/>
      <c r="BW317"/>
      <c r="BX317" s="15"/>
    </row>
    <row r="318" spans="1:76">
      <c r="A318"/>
      <c r="B318" s="542">
        <v>258</v>
      </c>
      <c r="C318" s="733"/>
      <c r="D318" s="569"/>
      <c r="E318"/>
      <c r="F318"/>
      <c r="G318"/>
      <c r="H318"/>
      <c r="I318"/>
      <c r="J318"/>
      <c r="K318"/>
      <c r="L318"/>
      <c r="M318"/>
      <c r="N318"/>
      <c r="O318"/>
      <c r="P318"/>
      <c r="Q318"/>
      <c r="R318"/>
      <c r="S318" s="15"/>
      <c r="T318"/>
      <c r="U318" s="542">
        <v>258</v>
      </c>
      <c r="V318" s="733"/>
      <c r="W318" s="569"/>
      <c r="X318"/>
      <c r="Y318"/>
      <c r="Z318"/>
      <c r="AA318"/>
      <c r="AB318"/>
      <c r="AC318"/>
      <c r="AD318"/>
      <c r="AE318"/>
      <c r="AF318"/>
      <c r="AG318"/>
      <c r="AH318"/>
      <c r="AI318"/>
      <c r="AJ318"/>
      <c r="AK318"/>
      <c r="AL318" s="15"/>
      <c r="AM318"/>
      <c r="AN318" s="542">
        <v>258</v>
      </c>
      <c r="AO318" s="733"/>
      <c r="AP318" s="569"/>
      <c r="AQ318"/>
      <c r="AR318"/>
      <c r="AS318"/>
      <c r="AT318"/>
      <c r="AU318"/>
      <c r="AV318"/>
      <c r="AW318"/>
      <c r="AX318"/>
      <c r="AY318"/>
      <c r="AZ318"/>
      <c r="BA318"/>
      <c r="BB318"/>
      <c r="BC318"/>
      <c r="BD318"/>
      <c r="BE318" s="15"/>
      <c r="BF318"/>
      <c r="BG318" s="542">
        <v>258</v>
      </c>
      <c r="BH318" s="733"/>
      <c r="BI318" s="569"/>
      <c r="BJ318"/>
      <c r="BK318"/>
      <c r="BL318"/>
      <c r="BM318"/>
      <c r="BN318"/>
      <c r="BO318"/>
      <c r="BP318"/>
      <c r="BQ318"/>
      <c r="BR318"/>
      <c r="BS318"/>
      <c r="BT318"/>
      <c r="BU318"/>
      <c r="BV318"/>
      <c r="BW318"/>
      <c r="BX318" s="15"/>
    </row>
    <row r="319" spans="1:76">
      <c r="A319"/>
      <c r="B319" s="542">
        <v>259</v>
      </c>
      <c r="C319" s="733"/>
      <c r="D319" s="569"/>
      <c r="E319"/>
      <c r="F319"/>
      <c r="G319"/>
      <c r="H319"/>
      <c r="I319"/>
      <c r="J319"/>
      <c r="K319"/>
      <c r="L319"/>
      <c r="M319"/>
      <c r="N319"/>
      <c r="O319"/>
      <c r="P319"/>
      <c r="Q319"/>
      <c r="R319"/>
      <c r="S319" s="15"/>
      <c r="T319"/>
      <c r="U319" s="542">
        <v>259</v>
      </c>
      <c r="V319" s="733"/>
      <c r="W319" s="569"/>
      <c r="X319"/>
      <c r="Y319"/>
      <c r="Z319"/>
      <c r="AA319"/>
      <c r="AB319"/>
      <c r="AC319"/>
      <c r="AD319"/>
      <c r="AE319"/>
      <c r="AF319"/>
      <c r="AG319"/>
      <c r="AH319"/>
      <c r="AI319"/>
      <c r="AJ319"/>
      <c r="AK319"/>
      <c r="AL319" s="15"/>
      <c r="AM319"/>
      <c r="AN319" s="542">
        <v>259</v>
      </c>
      <c r="AO319" s="733"/>
      <c r="AP319" s="569"/>
      <c r="AQ319"/>
      <c r="AR319"/>
      <c r="AS319"/>
      <c r="AT319"/>
      <c r="AU319"/>
      <c r="AV319"/>
      <c r="AW319"/>
      <c r="AX319"/>
      <c r="AY319"/>
      <c r="AZ319"/>
      <c r="BA319"/>
      <c r="BB319"/>
      <c r="BC319"/>
      <c r="BD319"/>
      <c r="BE319" s="15"/>
      <c r="BF319"/>
      <c r="BG319" s="542">
        <v>259</v>
      </c>
      <c r="BH319" s="733"/>
      <c r="BI319" s="569"/>
      <c r="BJ319"/>
      <c r="BK319"/>
      <c r="BL319"/>
      <c r="BM319"/>
      <c r="BN319"/>
      <c r="BO319"/>
      <c r="BP319"/>
      <c r="BQ319"/>
      <c r="BR319"/>
      <c r="BS319"/>
      <c r="BT319"/>
      <c r="BU319"/>
      <c r="BV319"/>
      <c r="BW319"/>
      <c r="BX319" s="15"/>
    </row>
    <row r="320" spans="1:76">
      <c r="A320"/>
      <c r="B320" s="542">
        <v>260</v>
      </c>
      <c r="C320" s="733"/>
      <c r="D320" s="569"/>
      <c r="E320"/>
      <c r="F320"/>
      <c r="G320"/>
      <c r="H320"/>
      <c r="I320"/>
      <c r="J320"/>
      <c r="K320"/>
      <c r="L320"/>
      <c r="M320"/>
      <c r="N320"/>
      <c r="O320"/>
      <c r="P320"/>
      <c r="Q320"/>
      <c r="R320"/>
      <c r="S320" s="15"/>
      <c r="T320"/>
      <c r="U320" s="542">
        <v>260</v>
      </c>
      <c r="V320" s="733"/>
      <c r="W320" s="569"/>
      <c r="X320"/>
      <c r="Y320"/>
      <c r="Z320"/>
      <c r="AA320"/>
      <c r="AB320"/>
      <c r="AC320"/>
      <c r="AD320"/>
      <c r="AE320"/>
      <c r="AF320"/>
      <c r="AG320"/>
      <c r="AH320"/>
      <c r="AI320"/>
      <c r="AJ320"/>
      <c r="AK320"/>
      <c r="AL320" s="15"/>
      <c r="AM320"/>
      <c r="AN320" s="542">
        <v>260</v>
      </c>
      <c r="AO320" s="733"/>
      <c r="AP320" s="569"/>
      <c r="AQ320"/>
      <c r="AR320"/>
      <c r="AS320"/>
      <c r="AT320"/>
      <c r="AU320"/>
      <c r="AV320"/>
      <c r="AW320"/>
      <c r="AX320"/>
      <c r="AY320"/>
      <c r="AZ320"/>
      <c r="BA320"/>
      <c r="BB320"/>
      <c r="BC320"/>
      <c r="BD320"/>
      <c r="BE320" s="15"/>
      <c r="BF320"/>
      <c r="BG320" s="542">
        <v>260</v>
      </c>
      <c r="BH320" s="733"/>
      <c r="BI320" s="569"/>
      <c r="BJ320"/>
      <c r="BK320"/>
      <c r="BL320"/>
      <c r="BM320"/>
      <c r="BN320"/>
      <c r="BO320"/>
      <c r="BP320"/>
      <c r="BQ320"/>
      <c r="BR320"/>
      <c r="BS320"/>
      <c r="BT320"/>
      <c r="BU320"/>
      <c r="BV320"/>
      <c r="BW320"/>
      <c r="BX320" s="15"/>
    </row>
    <row r="321" spans="1:76">
      <c r="A321"/>
      <c r="B321" s="542">
        <v>261</v>
      </c>
      <c r="C321" s="733"/>
      <c r="D321" s="569"/>
      <c r="E321"/>
      <c r="F321"/>
      <c r="G321"/>
      <c r="H321"/>
      <c r="I321"/>
      <c r="J321"/>
      <c r="K321"/>
      <c r="L321"/>
      <c r="M321"/>
      <c r="N321"/>
      <c r="O321"/>
      <c r="P321"/>
      <c r="Q321"/>
      <c r="R321"/>
      <c r="S321" s="15"/>
      <c r="T321"/>
      <c r="U321" s="542">
        <v>261</v>
      </c>
      <c r="V321" s="733"/>
      <c r="W321" s="569"/>
      <c r="X321"/>
      <c r="Y321"/>
      <c r="Z321"/>
      <c r="AA321"/>
      <c r="AB321"/>
      <c r="AC321"/>
      <c r="AD321"/>
      <c r="AE321"/>
      <c r="AF321"/>
      <c r="AG321"/>
      <c r="AH321"/>
      <c r="AI321"/>
      <c r="AJ321"/>
      <c r="AK321"/>
      <c r="AL321" s="15"/>
      <c r="AM321"/>
      <c r="AN321" s="542">
        <v>261</v>
      </c>
      <c r="AO321" s="733"/>
      <c r="AP321" s="569"/>
      <c r="AQ321"/>
      <c r="AR321"/>
      <c r="AS321"/>
      <c r="AT321"/>
      <c r="AU321"/>
      <c r="AV321"/>
      <c r="AW321"/>
      <c r="AX321"/>
      <c r="AY321"/>
      <c r="AZ321"/>
      <c r="BA321"/>
      <c r="BB321"/>
      <c r="BC321"/>
      <c r="BD321"/>
      <c r="BE321" s="15"/>
      <c r="BF321"/>
      <c r="BG321" s="542">
        <v>261</v>
      </c>
      <c r="BH321" s="733"/>
      <c r="BI321" s="569"/>
      <c r="BJ321"/>
      <c r="BK321"/>
      <c r="BL321"/>
      <c r="BM321"/>
      <c r="BN321"/>
      <c r="BO321"/>
      <c r="BP321"/>
      <c r="BQ321"/>
      <c r="BR321"/>
      <c r="BS321"/>
      <c r="BT321"/>
      <c r="BU321"/>
      <c r="BV321"/>
      <c r="BW321"/>
      <c r="BX321" s="15"/>
    </row>
    <row r="322" spans="1:76">
      <c r="A322"/>
      <c r="B322" s="542">
        <v>262</v>
      </c>
      <c r="C322" s="733"/>
      <c r="D322" s="569"/>
      <c r="E322"/>
      <c r="F322"/>
      <c r="G322"/>
      <c r="H322"/>
      <c r="I322"/>
      <c r="J322"/>
      <c r="K322"/>
      <c r="L322"/>
      <c r="M322"/>
      <c r="N322"/>
      <c r="O322"/>
      <c r="P322"/>
      <c r="Q322"/>
      <c r="R322"/>
      <c r="S322" s="15"/>
      <c r="T322"/>
      <c r="U322" s="542">
        <v>262</v>
      </c>
      <c r="V322" s="733"/>
      <c r="W322" s="569"/>
      <c r="X322"/>
      <c r="Y322"/>
      <c r="Z322"/>
      <c r="AA322"/>
      <c r="AB322"/>
      <c r="AC322"/>
      <c r="AD322"/>
      <c r="AE322"/>
      <c r="AF322"/>
      <c r="AG322"/>
      <c r="AH322"/>
      <c r="AI322"/>
      <c r="AJ322"/>
      <c r="AK322"/>
      <c r="AL322" s="15"/>
      <c r="AM322"/>
      <c r="AN322" s="542">
        <v>262</v>
      </c>
      <c r="AO322" s="733"/>
      <c r="AP322" s="569"/>
      <c r="AQ322"/>
      <c r="AR322"/>
      <c r="AS322"/>
      <c r="AT322"/>
      <c r="AU322"/>
      <c r="AV322"/>
      <c r="AW322"/>
      <c r="AX322"/>
      <c r="AY322"/>
      <c r="AZ322"/>
      <c r="BA322"/>
      <c r="BB322"/>
      <c r="BC322"/>
      <c r="BD322"/>
      <c r="BE322" s="15"/>
      <c r="BF322"/>
      <c r="BG322" s="542">
        <v>262</v>
      </c>
      <c r="BH322" s="733"/>
      <c r="BI322" s="569"/>
      <c r="BJ322"/>
      <c r="BK322"/>
      <c r="BL322"/>
      <c r="BM322"/>
      <c r="BN322"/>
      <c r="BO322"/>
      <c r="BP322"/>
      <c r="BQ322"/>
      <c r="BR322"/>
      <c r="BS322"/>
      <c r="BT322"/>
      <c r="BU322"/>
      <c r="BV322"/>
      <c r="BW322"/>
      <c r="BX322" s="15"/>
    </row>
    <row r="323" spans="1:76">
      <c r="A323"/>
      <c r="B323" s="542">
        <v>263</v>
      </c>
      <c r="C323" s="733"/>
      <c r="D323" s="569"/>
      <c r="E323"/>
      <c r="F323"/>
      <c r="G323"/>
      <c r="H323"/>
      <c r="I323"/>
      <c r="J323"/>
      <c r="K323"/>
      <c r="L323"/>
      <c r="M323"/>
      <c r="N323"/>
      <c r="O323"/>
      <c r="P323"/>
      <c r="Q323"/>
      <c r="R323"/>
      <c r="S323" s="15"/>
      <c r="T323"/>
      <c r="U323" s="542">
        <v>263</v>
      </c>
      <c r="V323" s="733"/>
      <c r="W323" s="569"/>
      <c r="X323"/>
      <c r="Y323"/>
      <c r="Z323"/>
      <c r="AA323"/>
      <c r="AB323"/>
      <c r="AC323"/>
      <c r="AD323"/>
      <c r="AE323"/>
      <c r="AF323"/>
      <c r="AG323"/>
      <c r="AH323"/>
      <c r="AI323"/>
      <c r="AJ323"/>
      <c r="AK323"/>
      <c r="AL323" s="15"/>
      <c r="AM323"/>
      <c r="AN323" s="542">
        <v>263</v>
      </c>
      <c r="AO323" s="733"/>
      <c r="AP323" s="569"/>
      <c r="AQ323"/>
      <c r="AR323"/>
      <c r="AS323"/>
      <c r="AT323"/>
      <c r="AU323"/>
      <c r="AV323"/>
      <c r="AW323"/>
      <c r="AX323"/>
      <c r="AY323"/>
      <c r="AZ323"/>
      <c r="BA323"/>
      <c r="BB323"/>
      <c r="BC323"/>
      <c r="BD323"/>
      <c r="BE323" s="15"/>
      <c r="BF323"/>
      <c r="BG323" s="542">
        <v>263</v>
      </c>
      <c r="BH323" s="733"/>
      <c r="BI323" s="569"/>
      <c r="BJ323"/>
      <c r="BK323"/>
      <c r="BL323"/>
      <c r="BM323"/>
      <c r="BN323"/>
      <c r="BO323"/>
      <c r="BP323"/>
      <c r="BQ323"/>
      <c r="BR323"/>
      <c r="BS323"/>
      <c r="BT323"/>
      <c r="BU323"/>
      <c r="BV323"/>
      <c r="BW323"/>
      <c r="BX323" s="15"/>
    </row>
    <row r="324" spans="1:76">
      <c r="A324"/>
      <c r="B324" s="542">
        <v>264</v>
      </c>
      <c r="C324" s="733"/>
      <c r="D324" s="569"/>
      <c r="E324"/>
      <c r="F324"/>
      <c r="G324"/>
      <c r="H324"/>
      <c r="I324"/>
      <c r="J324"/>
      <c r="K324"/>
      <c r="L324"/>
      <c r="M324"/>
      <c r="N324"/>
      <c r="O324"/>
      <c r="P324"/>
      <c r="Q324"/>
      <c r="R324"/>
      <c r="S324" s="15"/>
      <c r="T324"/>
      <c r="U324" s="542">
        <v>264</v>
      </c>
      <c r="V324" s="733"/>
      <c r="W324" s="569"/>
      <c r="X324"/>
      <c r="Y324"/>
      <c r="Z324"/>
      <c r="AA324"/>
      <c r="AB324"/>
      <c r="AC324"/>
      <c r="AD324"/>
      <c r="AE324"/>
      <c r="AF324"/>
      <c r="AG324"/>
      <c r="AH324"/>
      <c r="AI324"/>
      <c r="AJ324"/>
      <c r="AK324"/>
      <c r="AL324" s="15"/>
      <c r="AM324"/>
      <c r="AN324" s="542">
        <v>264</v>
      </c>
      <c r="AO324" s="733"/>
      <c r="AP324" s="569"/>
      <c r="AQ324"/>
      <c r="AR324"/>
      <c r="AS324"/>
      <c r="AT324"/>
      <c r="AU324"/>
      <c r="AV324"/>
      <c r="AW324"/>
      <c r="AX324"/>
      <c r="AY324"/>
      <c r="AZ324"/>
      <c r="BA324"/>
      <c r="BB324"/>
      <c r="BC324"/>
      <c r="BD324"/>
      <c r="BE324" s="15"/>
      <c r="BF324"/>
      <c r="BG324" s="542">
        <v>264</v>
      </c>
      <c r="BH324" s="733"/>
      <c r="BI324" s="569"/>
      <c r="BJ324"/>
      <c r="BK324"/>
      <c r="BL324"/>
      <c r="BM324"/>
      <c r="BN324"/>
      <c r="BO324"/>
      <c r="BP324"/>
      <c r="BQ324"/>
      <c r="BR324"/>
      <c r="BS324"/>
      <c r="BT324"/>
      <c r="BU324"/>
      <c r="BV324"/>
      <c r="BW324"/>
      <c r="BX324" s="15"/>
    </row>
    <row r="325" spans="1:76">
      <c r="A325"/>
      <c r="B325" s="542">
        <v>265</v>
      </c>
      <c r="C325" s="733"/>
      <c r="D325" s="569"/>
      <c r="E325"/>
      <c r="F325"/>
      <c r="G325"/>
      <c r="H325"/>
      <c r="I325"/>
      <c r="J325"/>
      <c r="K325"/>
      <c r="L325"/>
      <c r="M325"/>
      <c r="N325"/>
      <c r="O325"/>
      <c r="P325"/>
      <c r="Q325"/>
      <c r="R325"/>
      <c r="S325" s="15"/>
      <c r="T325"/>
      <c r="U325" s="542">
        <v>265</v>
      </c>
      <c r="V325" s="733"/>
      <c r="W325" s="569"/>
      <c r="X325"/>
      <c r="Y325"/>
      <c r="Z325"/>
      <c r="AA325"/>
      <c r="AB325"/>
      <c r="AC325"/>
      <c r="AD325"/>
      <c r="AE325"/>
      <c r="AF325"/>
      <c r="AG325"/>
      <c r="AH325"/>
      <c r="AI325"/>
      <c r="AJ325"/>
      <c r="AK325"/>
      <c r="AL325" s="15"/>
      <c r="AM325"/>
      <c r="AN325" s="542">
        <v>265</v>
      </c>
      <c r="AO325" s="733"/>
      <c r="AP325" s="569"/>
      <c r="AQ325"/>
      <c r="AR325"/>
      <c r="AS325"/>
      <c r="AT325"/>
      <c r="AU325"/>
      <c r="AV325"/>
      <c r="AW325"/>
      <c r="AX325"/>
      <c r="AY325"/>
      <c r="AZ325"/>
      <c r="BA325"/>
      <c r="BB325"/>
      <c r="BC325"/>
      <c r="BD325"/>
      <c r="BE325" s="15"/>
      <c r="BF325"/>
      <c r="BG325" s="542">
        <v>265</v>
      </c>
      <c r="BH325" s="733"/>
      <c r="BI325" s="569"/>
      <c r="BJ325"/>
      <c r="BK325"/>
      <c r="BL325"/>
      <c r="BM325"/>
      <c r="BN325"/>
      <c r="BO325"/>
      <c r="BP325"/>
      <c r="BQ325"/>
      <c r="BR325"/>
      <c r="BS325"/>
      <c r="BT325"/>
      <c r="BU325"/>
      <c r="BV325"/>
      <c r="BW325"/>
      <c r="BX325" s="15"/>
    </row>
    <row r="326" spans="1:76">
      <c r="A326"/>
      <c r="B326" s="542">
        <v>266</v>
      </c>
      <c r="C326" s="733"/>
      <c r="D326" s="569"/>
      <c r="E326"/>
      <c r="F326"/>
      <c r="G326"/>
      <c r="H326"/>
      <c r="I326"/>
      <c r="J326"/>
      <c r="K326"/>
      <c r="L326"/>
      <c r="M326"/>
      <c r="N326"/>
      <c r="O326"/>
      <c r="P326"/>
      <c r="Q326"/>
      <c r="R326"/>
      <c r="S326" s="15"/>
      <c r="T326"/>
      <c r="U326" s="542">
        <v>266</v>
      </c>
      <c r="V326" s="733"/>
      <c r="W326" s="569"/>
      <c r="X326"/>
      <c r="Y326"/>
      <c r="Z326"/>
      <c r="AA326"/>
      <c r="AB326"/>
      <c r="AC326"/>
      <c r="AD326"/>
      <c r="AE326"/>
      <c r="AF326"/>
      <c r="AG326"/>
      <c r="AH326"/>
      <c r="AI326"/>
      <c r="AJ326"/>
      <c r="AK326"/>
      <c r="AL326" s="15"/>
      <c r="AM326"/>
      <c r="AN326" s="542">
        <v>266</v>
      </c>
      <c r="AO326" s="733"/>
      <c r="AP326" s="569"/>
      <c r="AQ326"/>
      <c r="AR326"/>
      <c r="AS326"/>
      <c r="AT326"/>
      <c r="AU326"/>
      <c r="AV326"/>
      <c r="AW326"/>
      <c r="AX326"/>
      <c r="AY326"/>
      <c r="AZ326"/>
      <c r="BA326"/>
      <c r="BB326"/>
      <c r="BC326"/>
      <c r="BD326"/>
      <c r="BE326" s="15"/>
      <c r="BF326"/>
      <c r="BG326" s="542">
        <v>266</v>
      </c>
      <c r="BH326" s="733"/>
      <c r="BI326" s="569"/>
      <c r="BJ326"/>
      <c r="BK326"/>
      <c r="BL326"/>
      <c r="BM326"/>
      <c r="BN326"/>
      <c r="BO326"/>
      <c r="BP326"/>
      <c r="BQ326"/>
      <c r="BR326"/>
      <c r="BS326"/>
      <c r="BT326"/>
      <c r="BU326"/>
      <c r="BV326"/>
      <c r="BW326"/>
      <c r="BX326" s="15"/>
    </row>
    <row r="327" spans="1:76">
      <c r="A327"/>
      <c r="B327" s="542">
        <v>267</v>
      </c>
      <c r="C327" s="733"/>
      <c r="D327" s="569"/>
      <c r="E327"/>
      <c r="F327"/>
      <c r="G327"/>
      <c r="H327"/>
      <c r="I327"/>
      <c r="J327"/>
      <c r="K327"/>
      <c r="L327"/>
      <c r="M327"/>
      <c r="N327"/>
      <c r="O327"/>
      <c r="P327"/>
      <c r="Q327"/>
      <c r="R327"/>
      <c r="S327" s="15"/>
      <c r="T327"/>
      <c r="U327" s="542">
        <v>267</v>
      </c>
      <c r="V327" s="733"/>
      <c r="W327" s="569"/>
      <c r="X327"/>
      <c r="Y327"/>
      <c r="Z327"/>
      <c r="AA327"/>
      <c r="AB327"/>
      <c r="AC327"/>
      <c r="AD327"/>
      <c r="AE327"/>
      <c r="AF327"/>
      <c r="AG327"/>
      <c r="AH327"/>
      <c r="AI327"/>
      <c r="AJ327"/>
      <c r="AK327"/>
      <c r="AL327" s="15"/>
      <c r="AM327"/>
      <c r="AN327" s="542">
        <v>267</v>
      </c>
      <c r="AO327" s="733"/>
      <c r="AP327" s="569"/>
      <c r="AQ327"/>
      <c r="AR327"/>
      <c r="AS327"/>
      <c r="AT327"/>
      <c r="AU327"/>
      <c r="AV327"/>
      <c r="AW327"/>
      <c r="AX327"/>
      <c r="AY327"/>
      <c r="AZ327"/>
      <c r="BA327"/>
      <c r="BB327"/>
      <c r="BC327"/>
      <c r="BD327"/>
      <c r="BE327" s="15"/>
      <c r="BF327"/>
      <c r="BG327" s="542">
        <v>267</v>
      </c>
      <c r="BH327" s="733"/>
      <c r="BI327" s="569"/>
      <c r="BJ327"/>
      <c r="BK327"/>
      <c r="BL327"/>
      <c r="BM327"/>
      <c r="BN327"/>
      <c r="BO327"/>
      <c r="BP327"/>
      <c r="BQ327"/>
      <c r="BR327"/>
      <c r="BS327"/>
      <c r="BT327"/>
      <c r="BU327"/>
      <c r="BV327"/>
      <c r="BW327"/>
      <c r="BX327" s="15"/>
    </row>
    <row r="328" spans="1:76">
      <c r="A328"/>
      <c r="B328" s="542">
        <v>268</v>
      </c>
      <c r="C328" s="733"/>
      <c r="D328" s="569"/>
      <c r="E328"/>
      <c r="F328"/>
      <c r="G328"/>
      <c r="H328"/>
      <c r="I328"/>
      <c r="J328"/>
      <c r="K328"/>
      <c r="L328"/>
      <c r="M328"/>
      <c r="N328"/>
      <c r="O328"/>
      <c r="P328"/>
      <c r="Q328"/>
      <c r="R328"/>
      <c r="S328" s="15"/>
      <c r="T328"/>
      <c r="U328" s="542">
        <v>268</v>
      </c>
      <c r="V328" s="733"/>
      <c r="W328" s="569"/>
      <c r="X328"/>
      <c r="Y328"/>
      <c r="Z328"/>
      <c r="AA328"/>
      <c r="AB328"/>
      <c r="AC328"/>
      <c r="AD328"/>
      <c r="AE328"/>
      <c r="AF328"/>
      <c r="AG328"/>
      <c r="AH328"/>
      <c r="AI328"/>
      <c r="AJ328"/>
      <c r="AK328"/>
      <c r="AL328" s="15"/>
      <c r="AM328"/>
      <c r="AN328" s="542">
        <v>268</v>
      </c>
      <c r="AO328" s="733"/>
      <c r="AP328" s="569"/>
      <c r="AQ328"/>
      <c r="AR328"/>
      <c r="AS328"/>
      <c r="AT328"/>
      <c r="AU328"/>
      <c r="AV328"/>
      <c r="AW328"/>
      <c r="AX328"/>
      <c r="AY328"/>
      <c r="AZ328"/>
      <c r="BA328"/>
      <c r="BB328"/>
      <c r="BC328"/>
      <c r="BD328"/>
      <c r="BE328" s="15"/>
      <c r="BF328"/>
      <c r="BG328" s="542">
        <v>268</v>
      </c>
      <c r="BH328" s="733"/>
      <c r="BI328" s="569"/>
      <c r="BJ328"/>
      <c r="BK328"/>
      <c r="BL328"/>
      <c r="BM328"/>
      <c r="BN328"/>
      <c r="BO328"/>
      <c r="BP328"/>
      <c r="BQ328"/>
      <c r="BR328"/>
      <c r="BS328"/>
      <c r="BT328"/>
      <c r="BU328"/>
      <c r="BV328"/>
      <c r="BW328"/>
      <c r="BX328" s="15"/>
    </row>
    <row r="329" spans="1:76">
      <c r="A329"/>
      <c r="B329" s="542">
        <v>269</v>
      </c>
      <c r="C329" s="733"/>
      <c r="D329" s="569"/>
      <c r="E329"/>
      <c r="F329"/>
      <c r="G329"/>
      <c r="H329"/>
      <c r="I329"/>
      <c r="J329"/>
      <c r="K329"/>
      <c r="L329"/>
      <c r="M329"/>
      <c r="N329"/>
      <c r="O329"/>
      <c r="P329"/>
      <c r="Q329"/>
      <c r="R329"/>
      <c r="S329" s="15"/>
      <c r="T329"/>
      <c r="U329" s="542">
        <v>269</v>
      </c>
      <c r="V329" s="733"/>
      <c r="W329" s="569"/>
      <c r="X329"/>
      <c r="Y329"/>
      <c r="Z329"/>
      <c r="AA329"/>
      <c r="AB329"/>
      <c r="AC329"/>
      <c r="AD329"/>
      <c r="AE329"/>
      <c r="AF329"/>
      <c r="AG329"/>
      <c r="AH329"/>
      <c r="AI329"/>
      <c r="AJ329"/>
      <c r="AK329"/>
      <c r="AL329" s="15"/>
      <c r="AM329"/>
      <c r="AN329" s="542">
        <v>269</v>
      </c>
      <c r="AO329" s="733"/>
      <c r="AP329" s="569"/>
      <c r="AQ329"/>
      <c r="AR329"/>
      <c r="AS329"/>
      <c r="AT329"/>
      <c r="AU329"/>
      <c r="AV329"/>
      <c r="AW329"/>
      <c r="AX329"/>
      <c r="AY329"/>
      <c r="AZ329"/>
      <c r="BA329"/>
      <c r="BB329"/>
      <c r="BC329"/>
      <c r="BD329"/>
      <c r="BE329" s="15"/>
      <c r="BF329"/>
      <c r="BG329" s="542">
        <v>269</v>
      </c>
      <c r="BH329" s="733"/>
      <c r="BI329" s="569"/>
      <c r="BJ329"/>
      <c r="BK329"/>
      <c r="BL329"/>
      <c r="BM329"/>
      <c r="BN329"/>
      <c r="BO329"/>
      <c r="BP329"/>
      <c r="BQ329"/>
      <c r="BR329"/>
      <c r="BS329"/>
      <c r="BT329"/>
      <c r="BU329"/>
      <c r="BV329"/>
      <c r="BW329"/>
      <c r="BX329" s="15"/>
    </row>
    <row r="330" spans="1:76">
      <c r="A330"/>
      <c r="B330" s="542">
        <v>270</v>
      </c>
      <c r="C330" s="733"/>
      <c r="D330" s="569"/>
      <c r="E330"/>
      <c r="F330"/>
      <c r="G330"/>
      <c r="H330"/>
      <c r="I330"/>
      <c r="J330"/>
      <c r="K330"/>
      <c r="L330"/>
      <c r="M330"/>
      <c r="N330"/>
      <c r="O330"/>
      <c r="P330"/>
      <c r="Q330"/>
      <c r="R330"/>
      <c r="S330" s="15"/>
      <c r="T330"/>
      <c r="U330" s="542">
        <v>270</v>
      </c>
      <c r="V330" s="733"/>
      <c r="W330" s="569"/>
      <c r="X330"/>
      <c r="Y330"/>
      <c r="Z330"/>
      <c r="AA330"/>
      <c r="AB330"/>
      <c r="AC330"/>
      <c r="AD330"/>
      <c r="AE330"/>
      <c r="AF330"/>
      <c r="AG330"/>
      <c r="AH330"/>
      <c r="AI330"/>
      <c r="AJ330"/>
      <c r="AK330"/>
      <c r="AL330" s="15"/>
      <c r="AM330"/>
      <c r="AN330" s="542">
        <v>270</v>
      </c>
      <c r="AO330" s="733"/>
      <c r="AP330" s="569"/>
      <c r="AQ330"/>
      <c r="AR330"/>
      <c r="AS330"/>
      <c r="AT330"/>
      <c r="AU330"/>
      <c r="AV330"/>
      <c r="AW330"/>
      <c r="AX330"/>
      <c r="AY330"/>
      <c r="AZ330"/>
      <c r="BA330"/>
      <c r="BB330"/>
      <c r="BC330"/>
      <c r="BD330"/>
      <c r="BE330" s="15"/>
      <c r="BF330"/>
      <c r="BG330" s="542">
        <v>270</v>
      </c>
      <c r="BH330" s="733"/>
      <c r="BI330" s="569"/>
      <c r="BJ330"/>
      <c r="BK330"/>
      <c r="BL330"/>
      <c r="BM330"/>
      <c r="BN330"/>
      <c r="BO330"/>
      <c r="BP330"/>
      <c r="BQ330"/>
      <c r="BR330"/>
      <c r="BS330"/>
      <c r="BT330"/>
      <c r="BU330"/>
      <c r="BV330"/>
      <c r="BW330"/>
      <c r="BX330" s="15"/>
    </row>
    <row r="331" spans="1:76">
      <c r="A331"/>
      <c r="B331" s="542">
        <v>271</v>
      </c>
      <c r="C331" s="733"/>
      <c r="D331" s="569"/>
      <c r="E331"/>
      <c r="F331"/>
      <c r="G331"/>
      <c r="H331"/>
      <c r="I331"/>
      <c r="J331"/>
      <c r="K331"/>
      <c r="L331"/>
      <c r="M331"/>
      <c r="N331"/>
      <c r="O331"/>
      <c r="P331"/>
      <c r="Q331"/>
      <c r="R331"/>
      <c r="S331" s="15"/>
      <c r="T331"/>
      <c r="U331" s="542">
        <v>271</v>
      </c>
      <c r="V331" s="733"/>
      <c r="W331" s="569"/>
      <c r="X331"/>
      <c r="Y331"/>
      <c r="Z331"/>
      <c r="AA331"/>
      <c r="AB331"/>
      <c r="AC331"/>
      <c r="AD331"/>
      <c r="AE331"/>
      <c r="AF331"/>
      <c r="AG331"/>
      <c r="AH331"/>
      <c r="AI331"/>
      <c r="AJ331"/>
      <c r="AK331"/>
      <c r="AL331" s="15"/>
      <c r="AM331"/>
      <c r="AN331" s="542">
        <v>271</v>
      </c>
      <c r="AO331" s="733"/>
      <c r="AP331" s="569"/>
      <c r="AQ331"/>
      <c r="AR331"/>
      <c r="AS331"/>
      <c r="AT331"/>
      <c r="AU331"/>
      <c r="AV331"/>
      <c r="AW331"/>
      <c r="AX331"/>
      <c r="AY331"/>
      <c r="AZ331"/>
      <c r="BA331"/>
      <c r="BB331"/>
      <c r="BC331"/>
      <c r="BD331"/>
      <c r="BE331" s="15"/>
      <c r="BF331"/>
      <c r="BG331" s="542">
        <v>271</v>
      </c>
      <c r="BH331" s="733"/>
      <c r="BI331" s="569"/>
      <c r="BJ331"/>
      <c r="BK331"/>
      <c r="BL331"/>
      <c r="BM331"/>
      <c r="BN331"/>
      <c r="BO331"/>
      <c r="BP331"/>
      <c r="BQ331"/>
      <c r="BR331"/>
      <c r="BS331"/>
      <c r="BT331"/>
      <c r="BU331"/>
      <c r="BV331"/>
      <c r="BW331"/>
      <c r="BX331" s="15"/>
    </row>
    <row r="332" spans="1:76">
      <c r="A332"/>
      <c r="B332" s="542">
        <v>272</v>
      </c>
      <c r="C332" s="733"/>
      <c r="D332" s="569"/>
      <c r="E332"/>
      <c r="F332"/>
      <c r="G332"/>
      <c r="H332"/>
      <c r="I332"/>
      <c r="J332"/>
      <c r="K332"/>
      <c r="L332"/>
      <c r="M332"/>
      <c r="N332"/>
      <c r="O332"/>
      <c r="P332"/>
      <c r="Q332"/>
      <c r="R332"/>
      <c r="S332" s="15"/>
      <c r="T332"/>
      <c r="U332" s="542">
        <v>272</v>
      </c>
      <c r="V332" s="733"/>
      <c r="W332" s="569"/>
      <c r="X332"/>
      <c r="Y332"/>
      <c r="Z332"/>
      <c r="AA332"/>
      <c r="AB332"/>
      <c r="AC332"/>
      <c r="AD332"/>
      <c r="AE332"/>
      <c r="AF332"/>
      <c r="AG332"/>
      <c r="AH332"/>
      <c r="AI332"/>
      <c r="AJ332"/>
      <c r="AK332"/>
      <c r="AL332" s="15"/>
      <c r="AM332"/>
      <c r="AN332" s="542">
        <v>272</v>
      </c>
      <c r="AO332" s="733"/>
      <c r="AP332" s="569"/>
      <c r="AQ332"/>
      <c r="AR332"/>
      <c r="AS332"/>
      <c r="AT332"/>
      <c r="AU332"/>
      <c r="AV332"/>
      <c r="AW332"/>
      <c r="AX332"/>
      <c r="AY332"/>
      <c r="AZ332"/>
      <c r="BA332"/>
      <c r="BB332"/>
      <c r="BC332"/>
      <c r="BD332"/>
      <c r="BE332" s="15"/>
      <c r="BF332"/>
      <c r="BG332" s="542">
        <v>272</v>
      </c>
      <c r="BH332" s="733"/>
      <c r="BI332" s="569"/>
      <c r="BJ332"/>
      <c r="BK332"/>
      <c r="BL332"/>
      <c r="BM332"/>
      <c r="BN332"/>
      <c r="BO332"/>
      <c r="BP332"/>
      <c r="BQ332"/>
      <c r="BR332"/>
      <c r="BS332"/>
      <c r="BT332"/>
      <c r="BU332"/>
      <c r="BV332"/>
      <c r="BW332"/>
      <c r="BX332" s="15"/>
    </row>
    <row r="333" spans="1:76">
      <c r="A333"/>
      <c r="B333" s="542">
        <v>273</v>
      </c>
      <c r="C333" s="733"/>
      <c r="D333" s="569"/>
      <c r="E333"/>
      <c r="F333"/>
      <c r="G333"/>
      <c r="H333"/>
      <c r="I333"/>
      <c r="J333"/>
      <c r="K333"/>
      <c r="L333"/>
      <c r="M333"/>
      <c r="N333"/>
      <c r="O333"/>
      <c r="P333"/>
      <c r="Q333"/>
      <c r="R333"/>
      <c r="S333" s="15"/>
      <c r="T333"/>
      <c r="U333" s="542">
        <v>273</v>
      </c>
      <c r="V333" s="733"/>
      <c r="W333" s="569"/>
      <c r="X333"/>
      <c r="Y333"/>
      <c r="Z333"/>
      <c r="AA333"/>
      <c r="AB333"/>
      <c r="AC333"/>
      <c r="AD333"/>
      <c r="AE333"/>
      <c r="AF333"/>
      <c r="AG333"/>
      <c r="AH333"/>
      <c r="AI333"/>
      <c r="AJ333"/>
      <c r="AK333"/>
      <c r="AL333" s="15"/>
      <c r="AM333"/>
      <c r="AN333" s="542">
        <v>273</v>
      </c>
      <c r="AO333" s="733"/>
      <c r="AP333" s="569"/>
      <c r="AQ333"/>
      <c r="AR333"/>
      <c r="AS333"/>
      <c r="AT333"/>
      <c r="AU333"/>
      <c r="AV333"/>
      <c r="AW333"/>
      <c r="AX333"/>
      <c r="AY333"/>
      <c r="AZ333"/>
      <c r="BA333"/>
      <c r="BB333"/>
      <c r="BC333"/>
      <c r="BD333"/>
      <c r="BE333" s="15"/>
      <c r="BF333"/>
      <c r="BG333" s="542">
        <v>273</v>
      </c>
      <c r="BH333" s="733"/>
      <c r="BI333" s="569"/>
      <c r="BJ333"/>
      <c r="BK333"/>
      <c r="BL333"/>
      <c r="BM333"/>
      <c r="BN333"/>
      <c r="BO333"/>
      <c r="BP333"/>
      <c r="BQ333"/>
      <c r="BR333"/>
      <c r="BS333"/>
      <c r="BT333"/>
      <c r="BU333"/>
      <c r="BV333"/>
      <c r="BW333"/>
      <c r="BX333" s="15"/>
    </row>
    <row r="334" spans="1:76">
      <c r="A334"/>
      <c r="B334" s="542">
        <v>274</v>
      </c>
      <c r="C334" s="733"/>
      <c r="D334" s="569"/>
      <c r="E334"/>
      <c r="F334"/>
      <c r="G334"/>
      <c r="H334"/>
      <c r="I334"/>
      <c r="J334"/>
      <c r="K334"/>
      <c r="L334"/>
      <c r="M334"/>
      <c r="N334"/>
      <c r="O334"/>
      <c r="P334"/>
      <c r="Q334"/>
      <c r="R334"/>
      <c r="S334" s="15"/>
      <c r="T334"/>
      <c r="U334" s="542">
        <v>274</v>
      </c>
      <c r="V334" s="733"/>
      <c r="W334" s="569"/>
      <c r="X334"/>
      <c r="Y334"/>
      <c r="Z334"/>
      <c r="AA334"/>
      <c r="AB334"/>
      <c r="AC334"/>
      <c r="AD334"/>
      <c r="AE334"/>
      <c r="AF334"/>
      <c r="AG334"/>
      <c r="AH334"/>
      <c r="AI334"/>
      <c r="AJ334"/>
      <c r="AK334"/>
      <c r="AL334" s="15"/>
      <c r="AM334"/>
      <c r="AN334" s="542">
        <v>274</v>
      </c>
      <c r="AO334" s="733"/>
      <c r="AP334" s="569"/>
      <c r="AQ334"/>
      <c r="AR334"/>
      <c r="AS334"/>
      <c r="AT334"/>
      <c r="AU334"/>
      <c r="AV334"/>
      <c r="AW334"/>
      <c r="AX334"/>
      <c r="AY334"/>
      <c r="AZ334"/>
      <c r="BA334"/>
      <c r="BB334"/>
      <c r="BC334"/>
      <c r="BD334"/>
      <c r="BE334" s="15"/>
      <c r="BF334"/>
      <c r="BG334" s="542">
        <v>274</v>
      </c>
      <c r="BH334" s="733"/>
      <c r="BI334" s="569"/>
      <c r="BJ334"/>
      <c r="BK334"/>
      <c r="BL334"/>
      <c r="BM334"/>
      <c r="BN334"/>
      <c r="BO334"/>
      <c r="BP334"/>
      <c r="BQ334"/>
      <c r="BR334"/>
      <c r="BS334"/>
      <c r="BT334"/>
      <c r="BU334"/>
      <c r="BV334"/>
      <c r="BW334"/>
      <c r="BX334" s="15"/>
    </row>
    <row r="335" spans="1:76">
      <c r="A335"/>
      <c r="B335" s="542">
        <v>275</v>
      </c>
      <c r="C335" s="733"/>
      <c r="D335" s="569"/>
      <c r="E335"/>
      <c r="F335"/>
      <c r="G335"/>
      <c r="H335"/>
      <c r="I335"/>
      <c r="J335"/>
      <c r="K335"/>
      <c r="L335"/>
      <c r="M335"/>
      <c r="N335"/>
      <c r="O335"/>
      <c r="P335"/>
      <c r="Q335"/>
      <c r="R335"/>
      <c r="S335" s="15"/>
      <c r="T335"/>
      <c r="U335" s="542">
        <v>275</v>
      </c>
      <c r="V335" s="733"/>
      <c r="W335" s="569"/>
      <c r="X335"/>
      <c r="Y335"/>
      <c r="Z335"/>
      <c r="AA335"/>
      <c r="AB335"/>
      <c r="AC335"/>
      <c r="AD335"/>
      <c r="AE335"/>
      <c r="AF335"/>
      <c r="AG335"/>
      <c r="AH335"/>
      <c r="AI335"/>
      <c r="AJ335"/>
      <c r="AK335"/>
      <c r="AL335" s="15"/>
      <c r="AM335"/>
      <c r="AN335" s="542">
        <v>275</v>
      </c>
      <c r="AO335" s="733"/>
      <c r="AP335" s="569"/>
      <c r="AQ335"/>
      <c r="AR335"/>
      <c r="AS335"/>
      <c r="AT335"/>
      <c r="AU335"/>
      <c r="AV335"/>
      <c r="AW335"/>
      <c r="AX335"/>
      <c r="AY335"/>
      <c r="AZ335"/>
      <c r="BA335"/>
      <c r="BB335"/>
      <c r="BC335"/>
      <c r="BD335"/>
      <c r="BE335" s="15"/>
      <c r="BF335"/>
      <c r="BG335" s="542">
        <v>275</v>
      </c>
      <c r="BH335" s="733"/>
      <c r="BI335" s="569"/>
      <c r="BJ335"/>
      <c r="BK335"/>
      <c r="BL335"/>
      <c r="BM335"/>
      <c r="BN335"/>
      <c r="BO335"/>
      <c r="BP335"/>
      <c r="BQ335"/>
      <c r="BR335"/>
      <c r="BS335"/>
      <c r="BT335"/>
      <c r="BU335"/>
      <c r="BV335"/>
      <c r="BW335"/>
      <c r="BX335" s="15"/>
    </row>
    <row r="336" spans="1:76">
      <c r="A336"/>
      <c r="B336" s="542">
        <v>276</v>
      </c>
      <c r="C336" s="733"/>
      <c r="D336" s="569"/>
      <c r="E336"/>
      <c r="F336"/>
      <c r="G336"/>
      <c r="H336"/>
      <c r="I336"/>
      <c r="J336"/>
      <c r="K336"/>
      <c r="L336"/>
      <c r="M336"/>
      <c r="N336"/>
      <c r="O336"/>
      <c r="P336"/>
      <c r="Q336"/>
      <c r="R336"/>
      <c r="S336" s="15"/>
      <c r="T336"/>
      <c r="U336" s="542">
        <v>276</v>
      </c>
      <c r="V336" s="733"/>
      <c r="W336" s="569"/>
      <c r="X336"/>
      <c r="Y336"/>
      <c r="Z336"/>
      <c r="AA336"/>
      <c r="AB336"/>
      <c r="AC336"/>
      <c r="AD336"/>
      <c r="AE336"/>
      <c r="AF336"/>
      <c r="AG336"/>
      <c r="AH336"/>
      <c r="AI336"/>
      <c r="AJ336"/>
      <c r="AK336"/>
      <c r="AL336" s="15"/>
      <c r="AM336"/>
      <c r="AN336" s="542">
        <v>276</v>
      </c>
      <c r="AO336" s="733"/>
      <c r="AP336" s="569"/>
      <c r="AQ336"/>
      <c r="AR336"/>
      <c r="AS336"/>
      <c r="AT336"/>
      <c r="AU336"/>
      <c r="AV336"/>
      <c r="AW336"/>
      <c r="AX336"/>
      <c r="AY336"/>
      <c r="AZ336"/>
      <c r="BA336"/>
      <c r="BB336"/>
      <c r="BC336"/>
      <c r="BD336"/>
      <c r="BE336" s="15"/>
      <c r="BF336"/>
      <c r="BG336" s="542">
        <v>276</v>
      </c>
      <c r="BH336" s="733"/>
      <c r="BI336" s="569"/>
      <c r="BJ336"/>
      <c r="BK336"/>
      <c r="BL336"/>
      <c r="BM336"/>
      <c r="BN336"/>
      <c r="BO336"/>
      <c r="BP336"/>
      <c r="BQ336"/>
      <c r="BR336"/>
      <c r="BS336"/>
      <c r="BT336"/>
      <c r="BU336"/>
      <c r="BV336"/>
      <c r="BW336"/>
      <c r="BX336" s="15"/>
    </row>
    <row r="337" spans="1:76">
      <c r="A337"/>
      <c r="B337" s="542">
        <v>277</v>
      </c>
      <c r="C337" s="733"/>
      <c r="D337" s="569"/>
      <c r="E337"/>
      <c r="F337"/>
      <c r="G337"/>
      <c r="H337"/>
      <c r="I337"/>
      <c r="J337"/>
      <c r="K337"/>
      <c r="L337"/>
      <c r="M337"/>
      <c r="N337"/>
      <c r="O337"/>
      <c r="P337"/>
      <c r="Q337"/>
      <c r="R337"/>
      <c r="S337" s="15"/>
      <c r="T337"/>
      <c r="U337" s="542">
        <v>277</v>
      </c>
      <c r="V337" s="733"/>
      <c r="W337" s="569"/>
      <c r="X337"/>
      <c r="Y337"/>
      <c r="Z337"/>
      <c r="AA337"/>
      <c r="AB337"/>
      <c r="AC337"/>
      <c r="AD337"/>
      <c r="AE337"/>
      <c r="AF337"/>
      <c r="AG337"/>
      <c r="AH337"/>
      <c r="AI337"/>
      <c r="AJ337"/>
      <c r="AK337"/>
      <c r="AL337" s="15"/>
      <c r="AM337"/>
      <c r="AN337" s="542">
        <v>277</v>
      </c>
      <c r="AO337" s="733"/>
      <c r="AP337" s="569"/>
      <c r="AQ337"/>
      <c r="AR337"/>
      <c r="AS337"/>
      <c r="AT337"/>
      <c r="AU337"/>
      <c r="AV337"/>
      <c r="AW337"/>
      <c r="AX337"/>
      <c r="AY337"/>
      <c r="AZ337"/>
      <c r="BA337"/>
      <c r="BB337"/>
      <c r="BC337"/>
      <c r="BD337"/>
      <c r="BE337" s="15"/>
      <c r="BF337"/>
      <c r="BG337" s="542">
        <v>277</v>
      </c>
      <c r="BH337" s="733"/>
      <c r="BI337" s="569"/>
      <c r="BJ337"/>
      <c r="BK337"/>
      <c r="BL337"/>
      <c r="BM337"/>
      <c r="BN337"/>
      <c r="BO337"/>
      <c r="BP337"/>
      <c r="BQ337"/>
      <c r="BR337"/>
      <c r="BS337"/>
      <c r="BT337"/>
      <c r="BU337"/>
      <c r="BV337"/>
      <c r="BW337"/>
      <c r="BX337" s="15"/>
    </row>
    <row r="338" spans="1:76">
      <c r="A338"/>
      <c r="B338" s="542">
        <v>278</v>
      </c>
      <c r="C338" s="733"/>
      <c r="D338" s="569"/>
      <c r="E338"/>
      <c r="F338"/>
      <c r="G338"/>
      <c r="H338"/>
      <c r="I338"/>
      <c r="J338"/>
      <c r="K338"/>
      <c r="L338"/>
      <c r="M338"/>
      <c r="N338"/>
      <c r="O338"/>
      <c r="P338"/>
      <c r="Q338"/>
      <c r="R338"/>
      <c r="S338" s="15"/>
      <c r="T338"/>
      <c r="U338" s="542">
        <v>278</v>
      </c>
      <c r="V338" s="733"/>
      <c r="W338" s="569"/>
      <c r="X338"/>
      <c r="Y338"/>
      <c r="Z338"/>
      <c r="AA338"/>
      <c r="AB338"/>
      <c r="AC338"/>
      <c r="AD338"/>
      <c r="AE338"/>
      <c r="AF338"/>
      <c r="AG338"/>
      <c r="AH338"/>
      <c r="AI338"/>
      <c r="AJ338"/>
      <c r="AK338"/>
      <c r="AL338" s="15"/>
      <c r="AM338"/>
      <c r="AN338" s="542">
        <v>278</v>
      </c>
      <c r="AO338" s="733"/>
      <c r="AP338" s="569"/>
      <c r="AQ338"/>
      <c r="AR338"/>
      <c r="AS338"/>
      <c r="AT338"/>
      <c r="AU338"/>
      <c r="AV338"/>
      <c r="AW338"/>
      <c r="AX338"/>
      <c r="AY338"/>
      <c r="AZ338"/>
      <c r="BA338"/>
      <c r="BB338"/>
      <c r="BC338"/>
      <c r="BD338"/>
      <c r="BE338" s="15"/>
      <c r="BF338"/>
      <c r="BG338" s="542">
        <v>278</v>
      </c>
      <c r="BH338" s="733"/>
      <c r="BI338" s="569"/>
      <c r="BJ338"/>
      <c r="BK338"/>
      <c r="BL338"/>
      <c r="BM338"/>
      <c r="BN338"/>
      <c r="BO338"/>
      <c r="BP338"/>
      <c r="BQ338"/>
      <c r="BR338"/>
      <c r="BS338"/>
      <c r="BT338"/>
      <c r="BU338"/>
      <c r="BV338"/>
      <c r="BW338"/>
      <c r="BX338" s="15"/>
    </row>
    <row r="339" spans="1:76">
      <c r="A339"/>
      <c r="B339" s="542">
        <v>279</v>
      </c>
      <c r="C339" s="733"/>
      <c r="D339" s="569"/>
      <c r="E339"/>
      <c r="F339"/>
      <c r="G339"/>
      <c r="H339"/>
      <c r="I339"/>
      <c r="J339"/>
      <c r="K339"/>
      <c r="L339"/>
      <c r="M339"/>
      <c r="N339"/>
      <c r="O339"/>
      <c r="P339"/>
      <c r="Q339"/>
      <c r="R339"/>
      <c r="S339" s="15"/>
      <c r="T339"/>
      <c r="U339" s="542">
        <v>279</v>
      </c>
      <c r="V339" s="733"/>
      <c r="W339" s="569"/>
      <c r="X339"/>
      <c r="Y339"/>
      <c r="Z339"/>
      <c r="AA339"/>
      <c r="AB339"/>
      <c r="AC339"/>
      <c r="AD339"/>
      <c r="AE339"/>
      <c r="AF339"/>
      <c r="AG339"/>
      <c r="AH339"/>
      <c r="AI339"/>
      <c r="AJ339"/>
      <c r="AK339"/>
      <c r="AL339" s="15"/>
      <c r="AM339"/>
      <c r="AN339" s="542">
        <v>279</v>
      </c>
      <c r="AO339" s="733"/>
      <c r="AP339" s="569"/>
      <c r="AQ339"/>
      <c r="AR339"/>
      <c r="AS339"/>
      <c r="AT339"/>
      <c r="AU339"/>
      <c r="AV339"/>
      <c r="AW339"/>
      <c r="AX339"/>
      <c r="AY339"/>
      <c r="AZ339"/>
      <c r="BA339"/>
      <c r="BB339"/>
      <c r="BC339"/>
      <c r="BD339"/>
      <c r="BE339" s="15"/>
      <c r="BF339"/>
      <c r="BG339" s="542">
        <v>279</v>
      </c>
      <c r="BH339" s="733"/>
      <c r="BI339" s="569"/>
      <c r="BJ339"/>
      <c r="BK339"/>
      <c r="BL339"/>
      <c r="BM339"/>
      <c r="BN339"/>
      <c r="BO339"/>
      <c r="BP339"/>
      <c r="BQ339"/>
      <c r="BR339"/>
      <c r="BS339"/>
      <c r="BT339"/>
      <c r="BU339"/>
      <c r="BV339"/>
      <c r="BW339"/>
      <c r="BX339" s="15"/>
    </row>
    <row r="340" spans="1:76">
      <c r="A340"/>
      <c r="B340" s="542">
        <v>280</v>
      </c>
      <c r="C340" s="733"/>
      <c r="D340" s="569"/>
      <c r="E340"/>
      <c r="F340"/>
      <c r="G340"/>
      <c r="H340"/>
      <c r="I340"/>
      <c r="J340"/>
      <c r="K340"/>
      <c r="L340"/>
      <c r="M340"/>
      <c r="N340"/>
      <c r="O340"/>
      <c r="P340"/>
      <c r="Q340"/>
      <c r="R340"/>
      <c r="S340" s="15"/>
      <c r="T340"/>
      <c r="U340" s="542">
        <v>280</v>
      </c>
      <c r="V340" s="733"/>
      <c r="W340" s="569"/>
      <c r="X340"/>
      <c r="Y340"/>
      <c r="Z340"/>
      <c r="AA340"/>
      <c r="AB340"/>
      <c r="AC340"/>
      <c r="AD340"/>
      <c r="AE340"/>
      <c r="AF340"/>
      <c r="AG340"/>
      <c r="AH340"/>
      <c r="AI340"/>
      <c r="AJ340"/>
      <c r="AK340"/>
      <c r="AL340" s="15"/>
      <c r="AM340"/>
      <c r="AN340" s="542">
        <v>280</v>
      </c>
      <c r="AO340" s="733"/>
      <c r="AP340" s="569"/>
      <c r="AQ340"/>
      <c r="AR340"/>
      <c r="AS340"/>
      <c r="AT340"/>
      <c r="AU340"/>
      <c r="AV340"/>
      <c r="AW340"/>
      <c r="AX340"/>
      <c r="AY340"/>
      <c r="AZ340"/>
      <c r="BA340"/>
      <c r="BB340"/>
      <c r="BC340"/>
      <c r="BD340"/>
      <c r="BE340" s="15"/>
      <c r="BF340"/>
      <c r="BG340" s="542">
        <v>280</v>
      </c>
      <c r="BH340" s="733"/>
      <c r="BI340" s="569"/>
      <c r="BJ340"/>
      <c r="BK340"/>
      <c r="BL340"/>
      <c r="BM340"/>
      <c r="BN340"/>
      <c r="BO340"/>
      <c r="BP340"/>
      <c r="BQ340"/>
      <c r="BR340"/>
      <c r="BS340"/>
      <c r="BT340"/>
      <c r="BU340"/>
      <c r="BV340"/>
      <c r="BW340"/>
      <c r="BX340" s="15"/>
    </row>
    <row r="341" spans="1:76">
      <c r="A341"/>
      <c r="B341" s="542">
        <v>281</v>
      </c>
      <c r="C341" s="733"/>
      <c r="D341" s="569"/>
      <c r="E341"/>
      <c r="F341"/>
      <c r="G341"/>
      <c r="H341"/>
      <c r="I341"/>
      <c r="J341"/>
      <c r="K341"/>
      <c r="L341"/>
      <c r="M341"/>
      <c r="N341"/>
      <c r="O341"/>
      <c r="P341"/>
      <c r="Q341"/>
      <c r="R341"/>
      <c r="S341" s="15"/>
      <c r="T341"/>
      <c r="U341" s="542">
        <v>281</v>
      </c>
      <c r="V341" s="733"/>
      <c r="W341" s="569"/>
      <c r="X341"/>
      <c r="Y341"/>
      <c r="Z341"/>
      <c r="AA341"/>
      <c r="AB341"/>
      <c r="AC341"/>
      <c r="AD341"/>
      <c r="AE341"/>
      <c r="AF341"/>
      <c r="AG341"/>
      <c r="AH341"/>
      <c r="AI341"/>
      <c r="AJ341"/>
      <c r="AK341"/>
      <c r="AL341" s="15"/>
      <c r="AM341"/>
      <c r="AN341" s="542">
        <v>281</v>
      </c>
      <c r="AO341" s="733"/>
      <c r="AP341" s="569"/>
      <c r="AQ341"/>
      <c r="AR341"/>
      <c r="AS341"/>
      <c r="AT341"/>
      <c r="AU341"/>
      <c r="AV341"/>
      <c r="AW341"/>
      <c r="AX341"/>
      <c r="AY341"/>
      <c r="AZ341"/>
      <c r="BA341"/>
      <c r="BB341"/>
      <c r="BC341"/>
      <c r="BD341"/>
      <c r="BE341" s="15"/>
      <c r="BF341"/>
      <c r="BG341" s="542">
        <v>281</v>
      </c>
      <c r="BH341" s="733"/>
      <c r="BI341" s="569"/>
      <c r="BJ341"/>
      <c r="BK341"/>
      <c r="BL341"/>
      <c r="BM341"/>
      <c r="BN341"/>
      <c r="BO341"/>
      <c r="BP341"/>
      <c r="BQ341"/>
      <c r="BR341"/>
      <c r="BS341"/>
      <c r="BT341"/>
      <c r="BU341"/>
      <c r="BV341"/>
      <c r="BW341"/>
      <c r="BX341" s="15"/>
    </row>
    <row r="342" spans="1:76">
      <c r="A342"/>
      <c r="B342" s="542">
        <v>282</v>
      </c>
      <c r="C342" s="733"/>
      <c r="D342" s="569"/>
      <c r="E342"/>
      <c r="F342"/>
      <c r="G342"/>
      <c r="H342"/>
      <c r="I342"/>
      <c r="J342"/>
      <c r="K342"/>
      <c r="L342"/>
      <c r="M342"/>
      <c r="N342"/>
      <c r="O342"/>
      <c r="P342"/>
      <c r="Q342"/>
      <c r="R342"/>
      <c r="S342" s="15"/>
      <c r="T342"/>
      <c r="U342" s="542">
        <v>282</v>
      </c>
      <c r="V342" s="733"/>
      <c r="W342" s="569"/>
      <c r="X342"/>
      <c r="Y342"/>
      <c r="Z342"/>
      <c r="AA342"/>
      <c r="AB342"/>
      <c r="AC342"/>
      <c r="AD342"/>
      <c r="AE342"/>
      <c r="AF342"/>
      <c r="AG342"/>
      <c r="AH342"/>
      <c r="AI342"/>
      <c r="AJ342"/>
      <c r="AK342"/>
      <c r="AL342" s="15"/>
      <c r="AM342"/>
      <c r="AN342" s="542">
        <v>282</v>
      </c>
      <c r="AO342" s="733"/>
      <c r="AP342" s="569"/>
      <c r="AQ342"/>
      <c r="AR342"/>
      <c r="AS342"/>
      <c r="AT342"/>
      <c r="AU342"/>
      <c r="AV342"/>
      <c r="AW342"/>
      <c r="AX342"/>
      <c r="AY342"/>
      <c r="AZ342"/>
      <c r="BA342"/>
      <c r="BB342"/>
      <c r="BC342"/>
      <c r="BD342"/>
      <c r="BE342" s="15"/>
      <c r="BF342"/>
      <c r="BG342" s="542">
        <v>282</v>
      </c>
      <c r="BH342" s="733"/>
      <c r="BI342" s="569"/>
      <c r="BJ342"/>
      <c r="BK342"/>
      <c r="BL342"/>
      <c r="BM342"/>
      <c r="BN342"/>
      <c r="BO342"/>
      <c r="BP342"/>
      <c r="BQ342"/>
      <c r="BR342"/>
      <c r="BS342"/>
      <c r="BT342"/>
      <c r="BU342"/>
      <c r="BV342"/>
      <c r="BW342"/>
      <c r="BX342" s="15"/>
    </row>
    <row r="343" spans="1:76">
      <c r="A343"/>
      <c r="B343" s="542">
        <v>283</v>
      </c>
      <c r="C343" s="733"/>
      <c r="D343" s="569"/>
      <c r="E343"/>
      <c r="F343"/>
      <c r="G343"/>
      <c r="H343"/>
      <c r="I343"/>
      <c r="J343"/>
      <c r="K343"/>
      <c r="L343"/>
      <c r="M343"/>
      <c r="N343"/>
      <c r="O343"/>
      <c r="P343"/>
      <c r="Q343"/>
      <c r="R343"/>
      <c r="S343" s="15"/>
      <c r="T343"/>
      <c r="U343" s="542">
        <v>283</v>
      </c>
      <c r="V343" s="733"/>
      <c r="W343" s="569"/>
      <c r="X343"/>
      <c r="Y343"/>
      <c r="Z343"/>
      <c r="AA343"/>
      <c r="AB343"/>
      <c r="AC343"/>
      <c r="AD343"/>
      <c r="AE343"/>
      <c r="AF343"/>
      <c r="AG343"/>
      <c r="AH343"/>
      <c r="AI343"/>
      <c r="AJ343"/>
      <c r="AK343"/>
      <c r="AL343" s="15"/>
      <c r="AM343"/>
      <c r="AN343" s="542">
        <v>283</v>
      </c>
      <c r="AO343" s="733"/>
      <c r="AP343" s="569"/>
      <c r="AQ343"/>
      <c r="AR343"/>
      <c r="AS343"/>
      <c r="AT343"/>
      <c r="AU343"/>
      <c r="AV343"/>
      <c r="AW343"/>
      <c r="AX343"/>
      <c r="AY343"/>
      <c r="AZ343"/>
      <c r="BA343"/>
      <c r="BB343"/>
      <c r="BC343"/>
      <c r="BD343"/>
      <c r="BE343" s="15"/>
      <c r="BF343"/>
      <c r="BG343" s="542">
        <v>283</v>
      </c>
      <c r="BH343" s="733"/>
      <c r="BI343" s="569"/>
      <c r="BJ343"/>
      <c r="BK343"/>
      <c r="BL343"/>
      <c r="BM343"/>
      <c r="BN343"/>
      <c r="BO343"/>
      <c r="BP343"/>
      <c r="BQ343"/>
      <c r="BR343"/>
      <c r="BS343"/>
      <c r="BT343"/>
      <c r="BU343"/>
      <c r="BV343"/>
      <c r="BW343"/>
      <c r="BX343" s="15"/>
    </row>
    <row r="344" spans="1:76">
      <c r="A344"/>
      <c r="B344" s="542">
        <v>284</v>
      </c>
      <c r="C344" s="733"/>
      <c r="D344" s="569"/>
      <c r="E344"/>
      <c r="F344"/>
      <c r="G344"/>
      <c r="H344"/>
      <c r="I344"/>
      <c r="J344"/>
      <c r="K344"/>
      <c r="L344"/>
      <c r="M344"/>
      <c r="N344"/>
      <c r="O344"/>
      <c r="P344"/>
      <c r="Q344"/>
      <c r="R344"/>
      <c r="S344" s="15"/>
      <c r="T344"/>
      <c r="U344" s="542">
        <v>284</v>
      </c>
      <c r="V344" s="733"/>
      <c r="W344" s="569"/>
      <c r="X344"/>
      <c r="Y344"/>
      <c r="Z344"/>
      <c r="AA344"/>
      <c r="AB344"/>
      <c r="AC344"/>
      <c r="AD344"/>
      <c r="AE344"/>
      <c r="AF344"/>
      <c r="AG344"/>
      <c r="AH344"/>
      <c r="AI344"/>
      <c r="AJ344"/>
      <c r="AK344"/>
      <c r="AL344" s="15"/>
      <c r="AM344"/>
      <c r="AN344" s="542">
        <v>284</v>
      </c>
      <c r="AO344" s="733"/>
      <c r="AP344" s="569"/>
      <c r="AQ344"/>
      <c r="AR344"/>
      <c r="AS344"/>
      <c r="AT344"/>
      <c r="AU344"/>
      <c r="AV344"/>
      <c r="AW344"/>
      <c r="AX344"/>
      <c r="AY344"/>
      <c r="AZ344"/>
      <c r="BA344"/>
      <c r="BB344"/>
      <c r="BC344"/>
      <c r="BD344"/>
      <c r="BE344" s="15"/>
      <c r="BF344"/>
      <c r="BG344" s="542">
        <v>284</v>
      </c>
      <c r="BH344" s="733"/>
      <c r="BI344" s="569"/>
      <c r="BJ344"/>
      <c r="BK344"/>
      <c r="BL344"/>
      <c r="BM344"/>
      <c r="BN344"/>
      <c r="BO344"/>
      <c r="BP344"/>
      <c r="BQ344"/>
      <c r="BR344"/>
      <c r="BS344"/>
      <c r="BT344"/>
      <c r="BU344"/>
      <c r="BV344"/>
      <c r="BW344"/>
      <c r="BX344" s="15"/>
    </row>
    <row r="345" spans="1:76">
      <c r="A345"/>
      <c r="B345" s="542">
        <v>285</v>
      </c>
      <c r="C345" s="733"/>
      <c r="D345" s="569"/>
      <c r="E345"/>
      <c r="F345"/>
      <c r="G345"/>
      <c r="H345"/>
      <c r="I345"/>
      <c r="J345"/>
      <c r="K345"/>
      <c r="L345"/>
      <c r="M345"/>
      <c r="N345"/>
      <c r="O345"/>
      <c r="P345"/>
      <c r="Q345"/>
      <c r="R345"/>
      <c r="S345" s="15"/>
      <c r="T345"/>
      <c r="U345" s="542">
        <v>285</v>
      </c>
      <c r="V345" s="733"/>
      <c r="W345" s="569"/>
      <c r="X345"/>
      <c r="Y345"/>
      <c r="Z345"/>
      <c r="AA345"/>
      <c r="AB345"/>
      <c r="AC345"/>
      <c r="AD345"/>
      <c r="AE345"/>
      <c r="AF345"/>
      <c r="AG345"/>
      <c r="AH345"/>
      <c r="AI345"/>
      <c r="AJ345"/>
      <c r="AK345"/>
      <c r="AL345" s="15"/>
      <c r="AM345"/>
      <c r="AN345" s="542">
        <v>285</v>
      </c>
      <c r="AO345" s="733"/>
      <c r="AP345" s="569"/>
      <c r="AQ345"/>
      <c r="AR345"/>
      <c r="AS345"/>
      <c r="AT345"/>
      <c r="AU345"/>
      <c r="AV345"/>
      <c r="AW345"/>
      <c r="AX345"/>
      <c r="AY345"/>
      <c r="AZ345"/>
      <c r="BA345"/>
      <c r="BB345"/>
      <c r="BC345"/>
      <c r="BD345"/>
      <c r="BE345" s="15"/>
      <c r="BF345"/>
      <c r="BG345" s="542">
        <v>285</v>
      </c>
      <c r="BH345" s="733"/>
      <c r="BI345" s="569"/>
      <c r="BJ345"/>
      <c r="BK345"/>
      <c r="BL345"/>
      <c r="BM345"/>
      <c r="BN345"/>
      <c r="BO345"/>
      <c r="BP345"/>
      <c r="BQ345"/>
      <c r="BR345"/>
      <c r="BS345"/>
      <c r="BT345"/>
      <c r="BU345"/>
      <c r="BV345"/>
      <c r="BW345"/>
      <c r="BX345" s="15"/>
    </row>
    <row r="346" spans="1:76">
      <c r="A346"/>
      <c r="B346" s="542">
        <v>286</v>
      </c>
      <c r="C346" s="733"/>
      <c r="D346" s="569"/>
      <c r="E346"/>
      <c r="F346"/>
      <c r="G346"/>
      <c r="H346"/>
      <c r="I346"/>
      <c r="J346"/>
      <c r="K346"/>
      <c r="L346"/>
      <c r="M346"/>
      <c r="N346"/>
      <c r="O346"/>
      <c r="P346"/>
      <c r="Q346"/>
      <c r="R346"/>
      <c r="S346" s="15"/>
      <c r="T346"/>
      <c r="U346" s="542">
        <v>286</v>
      </c>
      <c r="V346" s="733"/>
      <c r="W346" s="569"/>
      <c r="X346"/>
      <c r="Y346"/>
      <c r="Z346"/>
      <c r="AA346"/>
      <c r="AB346"/>
      <c r="AC346"/>
      <c r="AD346"/>
      <c r="AE346"/>
      <c r="AF346"/>
      <c r="AG346"/>
      <c r="AH346"/>
      <c r="AI346"/>
      <c r="AJ346"/>
      <c r="AK346"/>
      <c r="AL346" s="15"/>
      <c r="AM346"/>
      <c r="AN346" s="542">
        <v>286</v>
      </c>
      <c r="AO346" s="733"/>
      <c r="AP346" s="569"/>
      <c r="AQ346"/>
      <c r="AR346"/>
      <c r="AS346"/>
      <c r="AT346"/>
      <c r="AU346"/>
      <c r="AV346"/>
      <c r="AW346"/>
      <c r="AX346"/>
      <c r="AY346"/>
      <c r="AZ346"/>
      <c r="BA346"/>
      <c r="BB346"/>
      <c r="BC346"/>
      <c r="BD346"/>
      <c r="BE346" s="15"/>
      <c r="BF346"/>
      <c r="BG346" s="542">
        <v>286</v>
      </c>
      <c r="BH346" s="733"/>
      <c r="BI346" s="569"/>
      <c r="BJ346"/>
      <c r="BK346"/>
      <c r="BL346"/>
      <c r="BM346"/>
      <c r="BN346"/>
      <c r="BO346"/>
      <c r="BP346"/>
      <c r="BQ346"/>
      <c r="BR346"/>
      <c r="BS346"/>
      <c r="BT346"/>
      <c r="BU346"/>
      <c r="BV346"/>
      <c r="BW346"/>
      <c r="BX346" s="15"/>
    </row>
    <row r="347" spans="1:76">
      <c r="A347"/>
      <c r="B347" s="542">
        <v>287</v>
      </c>
      <c r="C347" s="733"/>
      <c r="D347" s="569"/>
      <c r="E347"/>
      <c r="F347"/>
      <c r="G347"/>
      <c r="H347"/>
      <c r="I347"/>
      <c r="J347"/>
      <c r="K347"/>
      <c r="L347"/>
      <c r="M347"/>
      <c r="N347"/>
      <c r="O347"/>
      <c r="P347"/>
      <c r="Q347"/>
      <c r="R347"/>
      <c r="S347" s="15"/>
      <c r="T347"/>
      <c r="U347" s="542">
        <v>287</v>
      </c>
      <c r="V347" s="733"/>
      <c r="W347" s="569"/>
      <c r="X347"/>
      <c r="Y347"/>
      <c r="Z347"/>
      <c r="AA347"/>
      <c r="AB347"/>
      <c r="AC347"/>
      <c r="AD347"/>
      <c r="AE347"/>
      <c r="AF347"/>
      <c r="AG347"/>
      <c r="AH347"/>
      <c r="AI347"/>
      <c r="AJ347"/>
      <c r="AK347"/>
      <c r="AL347" s="15"/>
      <c r="AM347"/>
      <c r="AN347" s="542">
        <v>287</v>
      </c>
      <c r="AO347" s="733"/>
      <c r="AP347" s="569"/>
      <c r="AQ347"/>
      <c r="AR347"/>
      <c r="AS347"/>
      <c r="AT347"/>
      <c r="AU347"/>
      <c r="AV347"/>
      <c r="AW347"/>
      <c r="AX347"/>
      <c r="AY347"/>
      <c r="AZ347"/>
      <c r="BA347"/>
      <c r="BB347"/>
      <c r="BC347"/>
      <c r="BD347"/>
      <c r="BE347" s="15"/>
      <c r="BF347"/>
      <c r="BG347" s="542">
        <v>287</v>
      </c>
      <c r="BH347" s="733"/>
      <c r="BI347" s="569"/>
      <c r="BJ347"/>
      <c r="BK347"/>
      <c r="BL347"/>
      <c r="BM347"/>
      <c r="BN347"/>
      <c r="BO347"/>
      <c r="BP347"/>
      <c r="BQ347"/>
      <c r="BR347"/>
      <c r="BS347"/>
      <c r="BT347"/>
      <c r="BU347"/>
      <c r="BV347"/>
      <c r="BW347"/>
      <c r="BX347" s="15"/>
    </row>
    <row r="348" spans="1:76">
      <c r="A348"/>
      <c r="B348" s="542">
        <v>288</v>
      </c>
      <c r="C348" s="733"/>
      <c r="D348" s="569"/>
      <c r="E348"/>
      <c r="F348"/>
      <c r="G348"/>
      <c r="H348"/>
      <c r="I348"/>
      <c r="J348"/>
      <c r="K348"/>
      <c r="L348"/>
      <c r="M348"/>
      <c r="N348"/>
      <c r="O348"/>
      <c r="P348"/>
      <c r="Q348"/>
      <c r="R348"/>
      <c r="S348" s="15"/>
      <c r="T348"/>
      <c r="U348" s="542">
        <v>288</v>
      </c>
      <c r="V348" s="733"/>
      <c r="W348" s="569"/>
      <c r="X348"/>
      <c r="Y348"/>
      <c r="Z348"/>
      <c r="AA348"/>
      <c r="AB348"/>
      <c r="AC348"/>
      <c r="AD348"/>
      <c r="AE348"/>
      <c r="AF348"/>
      <c r="AG348"/>
      <c r="AH348"/>
      <c r="AI348"/>
      <c r="AJ348"/>
      <c r="AK348"/>
      <c r="AL348" s="15"/>
      <c r="AM348"/>
      <c r="AN348" s="542">
        <v>288</v>
      </c>
      <c r="AO348" s="733"/>
      <c r="AP348" s="569"/>
      <c r="AQ348"/>
      <c r="AR348"/>
      <c r="AS348"/>
      <c r="AT348"/>
      <c r="AU348"/>
      <c r="AV348"/>
      <c r="AW348"/>
      <c r="AX348"/>
      <c r="AY348"/>
      <c r="AZ348"/>
      <c r="BA348"/>
      <c r="BB348"/>
      <c r="BC348"/>
      <c r="BD348"/>
      <c r="BE348" s="15"/>
      <c r="BF348"/>
      <c r="BG348" s="542">
        <v>288</v>
      </c>
      <c r="BH348" s="733"/>
      <c r="BI348" s="569"/>
      <c r="BJ348"/>
      <c r="BK348"/>
      <c r="BL348"/>
      <c r="BM348"/>
      <c r="BN348"/>
      <c r="BO348"/>
      <c r="BP348"/>
      <c r="BQ348"/>
      <c r="BR348"/>
      <c r="BS348"/>
      <c r="BT348"/>
      <c r="BU348"/>
      <c r="BV348"/>
      <c r="BW348"/>
      <c r="BX348" s="15"/>
    </row>
    <row r="349" spans="1:76">
      <c r="A349"/>
      <c r="B349" s="542">
        <v>289</v>
      </c>
      <c r="C349" s="733"/>
      <c r="D349" s="569"/>
      <c r="E349"/>
      <c r="F349"/>
      <c r="G349"/>
      <c r="H349"/>
      <c r="I349"/>
      <c r="J349"/>
      <c r="K349"/>
      <c r="L349"/>
      <c r="M349"/>
      <c r="N349"/>
      <c r="O349"/>
      <c r="P349"/>
      <c r="Q349"/>
      <c r="R349"/>
      <c r="S349" s="15"/>
      <c r="T349"/>
      <c r="U349" s="542">
        <v>289</v>
      </c>
      <c r="V349" s="733"/>
      <c r="W349" s="569"/>
      <c r="X349"/>
      <c r="Y349"/>
      <c r="Z349"/>
      <c r="AA349"/>
      <c r="AB349"/>
      <c r="AC349"/>
      <c r="AD349"/>
      <c r="AE349"/>
      <c r="AF349"/>
      <c r="AG349"/>
      <c r="AH349"/>
      <c r="AI349"/>
      <c r="AJ349"/>
      <c r="AK349"/>
      <c r="AL349" s="15"/>
      <c r="AM349"/>
      <c r="AN349" s="542">
        <v>289</v>
      </c>
      <c r="AO349" s="733"/>
      <c r="AP349" s="569"/>
      <c r="AQ349"/>
      <c r="AR349"/>
      <c r="AS349"/>
      <c r="AT349"/>
      <c r="AU349"/>
      <c r="AV349"/>
      <c r="AW349"/>
      <c r="AX349"/>
      <c r="AY349"/>
      <c r="AZ349"/>
      <c r="BA349"/>
      <c r="BB349"/>
      <c r="BC349"/>
      <c r="BD349"/>
      <c r="BE349" s="15"/>
      <c r="BF349"/>
      <c r="BG349" s="542">
        <v>289</v>
      </c>
      <c r="BH349" s="733"/>
      <c r="BI349" s="569"/>
      <c r="BJ349"/>
      <c r="BK349"/>
      <c r="BL349"/>
      <c r="BM349"/>
      <c r="BN349"/>
      <c r="BO349"/>
      <c r="BP349"/>
      <c r="BQ349"/>
      <c r="BR349"/>
      <c r="BS349"/>
      <c r="BT349"/>
      <c r="BU349"/>
      <c r="BV349"/>
      <c r="BW349"/>
      <c r="BX349" s="15"/>
    </row>
    <row r="350" spans="1:76">
      <c r="A350"/>
      <c r="B350" s="542">
        <v>290</v>
      </c>
      <c r="C350" s="733"/>
      <c r="D350" s="569"/>
      <c r="E350"/>
      <c r="F350"/>
      <c r="G350"/>
      <c r="H350"/>
      <c r="I350"/>
      <c r="J350"/>
      <c r="K350"/>
      <c r="L350"/>
      <c r="M350"/>
      <c r="N350"/>
      <c r="O350"/>
      <c r="P350"/>
      <c r="Q350"/>
      <c r="R350"/>
      <c r="S350" s="15"/>
      <c r="T350"/>
      <c r="U350" s="542">
        <v>290</v>
      </c>
      <c r="V350" s="733"/>
      <c r="W350" s="569"/>
      <c r="X350"/>
      <c r="Y350"/>
      <c r="Z350"/>
      <c r="AA350"/>
      <c r="AB350"/>
      <c r="AC350"/>
      <c r="AD350"/>
      <c r="AE350"/>
      <c r="AF350"/>
      <c r="AG350"/>
      <c r="AH350"/>
      <c r="AI350"/>
      <c r="AJ350"/>
      <c r="AK350"/>
      <c r="AL350" s="15"/>
      <c r="AM350"/>
      <c r="AN350" s="542">
        <v>290</v>
      </c>
      <c r="AO350" s="733"/>
      <c r="AP350" s="569"/>
      <c r="AQ350"/>
      <c r="AR350"/>
      <c r="AS350"/>
      <c r="AT350"/>
      <c r="AU350"/>
      <c r="AV350"/>
      <c r="AW350"/>
      <c r="AX350"/>
      <c r="AY350"/>
      <c r="AZ350"/>
      <c r="BA350"/>
      <c r="BB350"/>
      <c r="BC350"/>
      <c r="BD350"/>
      <c r="BE350" s="15"/>
      <c r="BF350"/>
      <c r="BG350" s="542">
        <v>290</v>
      </c>
      <c r="BH350" s="733"/>
      <c r="BI350" s="569"/>
      <c r="BJ350"/>
      <c r="BK350"/>
      <c r="BL350"/>
      <c r="BM350"/>
      <c r="BN350"/>
      <c r="BO350"/>
      <c r="BP350"/>
      <c r="BQ350"/>
      <c r="BR350"/>
      <c r="BS350"/>
      <c r="BT350"/>
      <c r="BU350"/>
      <c r="BV350"/>
      <c r="BW350"/>
      <c r="BX350" s="15"/>
    </row>
    <row r="351" spans="1:76">
      <c r="A351"/>
      <c r="B351" s="542">
        <v>291</v>
      </c>
      <c r="C351" s="733"/>
      <c r="D351" s="569"/>
      <c r="E351"/>
      <c r="F351"/>
      <c r="G351"/>
      <c r="H351"/>
      <c r="I351"/>
      <c r="J351"/>
      <c r="K351"/>
      <c r="L351"/>
      <c r="M351"/>
      <c r="N351"/>
      <c r="O351"/>
      <c r="P351"/>
      <c r="Q351"/>
      <c r="R351"/>
      <c r="S351" s="15"/>
      <c r="T351"/>
      <c r="U351" s="542">
        <v>291</v>
      </c>
      <c r="V351" s="733"/>
      <c r="W351" s="569"/>
      <c r="X351"/>
      <c r="Y351"/>
      <c r="Z351"/>
      <c r="AA351"/>
      <c r="AB351"/>
      <c r="AC351"/>
      <c r="AD351"/>
      <c r="AE351"/>
      <c r="AF351"/>
      <c r="AG351"/>
      <c r="AH351"/>
      <c r="AI351"/>
      <c r="AJ351"/>
      <c r="AK351"/>
      <c r="AL351" s="15"/>
      <c r="AM351"/>
      <c r="AN351" s="542">
        <v>291</v>
      </c>
      <c r="AO351" s="733"/>
      <c r="AP351" s="569"/>
      <c r="AQ351"/>
      <c r="AR351"/>
      <c r="AS351"/>
      <c r="AT351"/>
      <c r="AU351"/>
      <c r="AV351"/>
      <c r="AW351"/>
      <c r="AX351"/>
      <c r="AY351"/>
      <c r="AZ351"/>
      <c r="BA351"/>
      <c r="BB351"/>
      <c r="BC351"/>
      <c r="BD351"/>
      <c r="BE351" s="15"/>
      <c r="BF351"/>
      <c r="BG351" s="542">
        <v>291</v>
      </c>
      <c r="BH351" s="733"/>
      <c r="BI351" s="569"/>
      <c r="BJ351"/>
      <c r="BK351"/>
      <c r="BL351"/>
      <c r="BM351"/>
      <c r="BN351"/>
      <c r="BO351"/>
      <c r="BP351"/>
      <c r="BQ351"/>
      <c r="BR351"/>
      <c r="BS351"/>
      <c r="BT351"/>
      <c r="BU351"/>
      <c r="BV351"/>
      <c r="BW351"/>
      <c r="BX351" s="15"/>
    </row>
    <row r="352" spans="1:76">
      <c r="A352"/>
      <c r="B352" s="542">
        <v>292</v>
      </c>
      <c r="C352" s="733"/>
      <c r="D352" s="569"/>
      <c r="E352"/>
      <c r="F352"/>
      <c r="G352"/>
      <c r="H352"/>
      <c r="I352"/>
      <c r="J352"/>
      <c r="K352"/>
      <c r="L352"/>
      <c r="M352"/>
      <c r="N352"/>
      <c r="O352"/>
      <c r="P352"/>
      <c r="Q352"/>
      <c r="R352"/>
      <c r="S352" s="15"/>
      <c r="T352"/>
      <c r="U352" s="542">
        <v>292</v>
      </c>
      <c r="V352" s="733"/>
      <c r="W352" s="569"/>
      <c r="X352"/>
      <c r="Y352"/>
      <c r="Z352"/>
      <c r="AA352"/>
      <c r="AB352"/>
      <c r="AC352"/>
      <c r="AD352"/>
      <c r="AE352"/>
      <c r="AF352"/>
      <c r="AG352"/>
      <c r="AH352"/>
      <c r="AI352"/>
      <c r="AJ352"/>
      <c r="AK352"/>
      <c r="AL352" s="15"/>
      <c r="AM352"/>
      <c r="AN352" s="542">
        <v>292</v>
      </c>
      <c r="AO352" s="733"/>
      <c r="AP352" s="569"/>
      <c r="AQ352"/>
      <c r="AR352"/>
      <c r="AS352"/>
      <c r="AT352"/>
      <c r="AU352"/>
      <c r="AV352"/>
      <c r="AW352"/>
      <c r="AX352"/>
      <c r="AY352"/>
      <c r="AZ352"/>
      <c r="BA352"/>
      <c r="BB352"/>
      <c r="BC352"/>
      <c r="BD352"/>
      <c r="BE352" s="15"/>
      <c r="BF352"/>
      <c r="BG352" s="542">
        <v>292</v>
      </c>
      <c r="BH352" s="733"/>
      <c r="BI352" s="569"/>
      <c r="BJ352"/>
      <c r="BK352"/>
      <c r="BL352"/>
      <c r="BM352"/>
      <c r="BN352"/>
      <c r="BO352"/>
      <c r="BP352"/>
      <c r="BQ352"/>
      <c r="BR352"/>
      <c r="BS352"/>
      <c r="BT352"/>
      <c r="BU352"/>
      <c r="BV352"/>
      <c r="BW352"/>
      <c r="BX352" s="15"/>
    </row>
    <row r="353" spans="1:76">
      <c r="A353"/>
      <c r="B353" s="542">
        <v>293</v>
      </c>
      <c r="C353" s="733"/>
      <c r="D353" s="569"/>
      <c r="E353"/>
      <c r="F353"/>
      <c r="G353"/>
      <c r="H353"/>
      <c r="I353"/>
      <c r="J353"/>
      <c r="K353"/>
      <c r="L353"/>
      <c r="M353"/>
      <c r="N353"/>
      <c r="O353"/>
      <c r="P353"/>
      <c r="Q353"/>
      <c r="R353"/>
      <c r="S353" s="15"/>
      <c r="T353"/>
      <c r="U353" s="542">
        <v>293</v>
      </c>
      <c r="V353" s="733"/>
      <c r="W353" s="569"/>
      <c r="X353"/>
      <c r="Y353"/>
      <c r="Z353"/>
      <c r="AA353"/>
      <c r="AB353"/>
      <c r="AC353"/>
      <c r="AD353"/>
      <c r="AE353"/>
      <c r="AF353"/>
      <c r="AG353"/>
      <c r="AH353"/>
      <c r="AI353"/>
      <c r="AJ353"/>
      <c r="AK353"/>
      <c r="AL353" s="15"/>
      <c r="AM353"/>
      <c r="AN353" s="542">
        <v>293</v>
      </c>
      <c r="AO353" s="733"/>
      <c r="AP353" s="569"/>
      <c r="AQ353"/>
      <c r="AR353"/>
      <c r="AS353"/>
      <c r="AT353"/>
      <c r="AU353"/>
      <c r="AV353"/>
      <c r="AW353"/>
      <c r="AX353"/>
      <c r="AY353"/>
      <c r="AZ353"/>
      <c r="BA353"/>
      <c r="BB353"/>
      <c r="BC353"/>
      <c r="BD353"/>
      <c r="BE353" s="15"/>
      <c r="BF353"/>
      <c r="BG353" s="542">
        <v>293</v>
      </c>
      <c r="BH353" s="733"/>
      <c r="BI353" s="569"/>
      <c r="BJ353"/>
      <c r="BK353"/>
      <c r="BL353"/>
      <c r="BM353"/>
      <c r="BN353"/>
      <c r="BO353"/>
      <c r="BP353"/>
      <c r="BQ353"/>
      <c r="BR353"/>
      <c r="BS353"/>
      <c r="BT353"/>
      <c r="BU353"/>
      <c r="BV353"/>
      <c r="BW353"/>
      <c r="BX353" s="15"/>
    </row>
    <row r="354" spans="1:76">
      <c r="A354"/>
      <c r="B354" s="542">
        <v>294</v>
      </c>
      <c r="C354" s="733"/>
      <c r="D354" s="569"/>
      <c r="E354"/>
      <c r="F354"/>
      <c r="G354"/>
      <c r="H354"/>
      <c r="I354"/>
      <c r="J354"/>
      <c r="K354"/>
      <c r="L354"/>
      <c r="M354"/>
      <c r="N354"/>
      <c r="O354"/>
      <c r="P354"/>
      <c r="Q354"/>
      <c r="R354"/>
      <c r="S354" s="15"/>
      <c r="T354"/>
      <c r="U354" s="542">
        <v>294</v>
      </c>
      <c r="V354" s="733"/>
      <c r="W354" s="569"/>
      <c r="X354"/>
      <c r="Y354"/>
      <c r="Z354"/>
      <c r="AA354"/>
      <c r="AB354"/>
      <c r="AC354"/>
      <c r="AD354"/>
      <c r="AE354"/>
      <c r="AF354"/>
      <c r="AG354"/>
      <c r="AH354"/>
      <c r="AI354"/>
      <c r="AJ354"/>
      <c r="AK354"/>
      <c r="AL354" s="15"/>
      <c r="AM354"/>
      <c r="AN354" s="542">
        <v>294</v>
      </c>
      <c r="AO354" s="733"/>
      <c r="AP354" s="569"/>
      <c r="AQ354"/>
      <c r="AR354"/>
      <c r="AS354"/>
      <c r="AT354"/>
      <c r="AU354"/>
      <c r="AV354"/>
      <c r="AW354"/>
      <c r="AX354"/>
      <c r="AY354"/>
      <c r="AZ354"/>
      <c r="BA354"/>
      <c r="BB354"/>
      <c r="BC354"/>
      <c r="BD354"/>
      <c r="BE354" s="15"/>
      <c r="BF354"/>
      <c r="BG354" s="542">
        <v>294</v>
      </c>
      <c r="BH354" s="733"/>
      <c r="BI354" s="569"/>
      <c r="BJ354"/>
      <c r="BK354"/>
      <c r="BL354"/>
      <c r="BM354"/>
      <c r="BN354"/>
      <c r="BO354"/>
      <c r="BP354"/>
      <c r="BQ354"/>
      <c r="BR354"/>
      <c r="BS354"/>
      <c r="BT354"/>
      <c r="BU354"/>
      <c r="BV354"/>
      <c r="BW354"/>
      <c r="BX354" s="15"/>
    </row>
    <row r="355" spans="1:76">
      <c r="A355"/>
      <c r="B355" s="542">
        <v>295</v>
      </c>
      <c r="C355" s="733"/>
      <c r="D355" s="569"/>
      <c r="E355"/>
      <c r="F355"/>
      <c r="G355"/>
      <c r="H355"/>
      <c r="I355"/>
      <c r="J355"/>
      <c r="K355"/>
      <c r="L355"/>
      <c r="M355"/>
      <c r="N355"/>
      <c r="O355"/>
      <c r="P355"/>
      <c r="Q355"/>
      <c r="R355"/>
      <c r="S355" s="15"/>
      <c r="T355"/>
      <c r="U355" s="542">
        <v>295</v>
      </c>
      <c r="V355" s="733"/>
      <c r="W355" s="569"/>
      <c r="X355"/>
      <c r="Y355"/>
      <c r="Z355"/>
      <c r="AA355"/>
      <c r="AB355"/>
      <c r="AC355"/>
      <c r="AD355"/>
      <c r="AE355"/>
      <c r="AF355"/>
      <c r="AG355"/>
      <c r="AH355"/>
      <c r="AI355"/>
      <c r="AJ355"/>
      <c r="AK355"/>
      <c r="AL355" s="15"/>
      <c r="AM355"/>
      <c r="AN355" s="542">
        <v>295</v>
      </c>
      <c r="AO355" s="733"/>
      <c r="AP355" s="569"/>
      <c r="AQ355"/>
      <c r="AR355"/>
      <c r="AS355"/>
      <c r="AT355"/>
      <c r="AU355"/>
      <c r="AV355"/>
      <c r="AW355"/>
      <c r="AX355"/>
      <c r="AY355"/>
      <c r="AZ355"/>
      <c r="BA355"/>
      <c r="BB355"/>
      <c r="BC355"/>
      <c r="BD355"/>
      <c r="BE355" s="15"/>
      <c r="BF355"/>
      <c r="BG355" s="542">
        <v>295</v>
      </c>
      <c r="BH355" s="733"/>
      <c r="BI355" s="569"/>
      <c r="BJ355"/>
      <c r="BK355"/>
      <c r="BL355"/>
      <c r="BM355"/>
      <c r="BN355"/>
      <c r="BO355"/>
      <c r="BP355"/>
      <c r="BQ355"/>
      <c r="BR355"/>
      <c r="BS355"/>
      <c r="BT355"/>
      <c r="BU355"/>
      <c r="BV355"/>
      <c r="BW355"/>
      <c r="BX355" s="15"/>
    </row>
    <row r="356" spans="1:76">
      <c r="A356"/>
      <c r="B356" s="542">
        <v>296</v>
      </c>
      <c r="C356" s="733"/>
      <c r="D356" s="569"/>
      <c r="E356"/>
      <c r="F356"/>
      <c r="G356"/>
      <c r="H356"/>
      <c r="I356"/>
      <c r="J356"/>
      <c r="K356"/>
      <c r="L356"/>
      <c r="M356"/>
      <c r="N356"/>
      <c r="O356"/>
      <c r="P356"/>
      <c r="Q356"/>
      <c r="R356"/>
      <c r="S356" s="15"/>
      <c r="T356"/>
      <c r="U356" s="542">
        <v>296</v>
      </c>
      <c r="V356" s="733"/>
      <c r="W356" s="569"/>
      <c r="X356"/>
      <c r="Y356"/>
      <c r="Z356"/>
      <c r="AA356"/>
      <c r="AB356"/>
      <c r="AC356"/>
      <c r="AD356"/>
      <c r="AE356"/>
      <c r="AF356"/>
      <c r="AG356"/>
      <c r="AH356"/>
      <c r="AI356"/>
      <c r="AJ356"/>
      <c r="AK356"/>
      <c r="AL356" s="15"/>
      <c r="AM356"/>
      <c r="AN356" s="542">
        <v>296</v>
      </c>
      <c r="AO356" s="733"/>
      <c r="AP356" s="569"/>
      <c r="AQ356"/>
      <c r="AR356"/>
      <c r="AS356"/>
      <c r="AT356"/>
      <c r="AU356"/>
      <c r="AV356"/>
      <c r="AW356"/>
      <c r="AX356"/>
      <c r="AY356"/>
      <c r="AZ356"/>
      <c r="BA356"/>
      <c r="BB356"/>
      <c r="BC356"/>
      <c r="BD356"/>
      <c r="BE356" s="15"/>
      <c r="BF356"/>
      <c r="BG356" s="542">
        <v>296</v>
      </c>
      <c r="BH356" s="733"/>
      <c r="BI356" s="569"/>
      <c r="BJ356"/>
      <c r="BK356"/>
      <c r="BL356"/>
      <c r="BM356"/>
      <c r="BN356"/>
      <c r="BO356"/>
      <c r="BP356"/>
      <c r="BQ356"/>
      <c r="BR356"/>
      <c r="BS356"/>
      <c r="BT356"/>
      <c r="BU356"/>
      <c r="BV356"/>
      <c r="BW356"/>
      <c r="BX356" s="15"/>
    </row>
    <row r="357" spans="1:76">
      <c r="A357"/>
      <c r="B357" s="542">
        <v>297</v>
      </c>
      <c r="C357" s="733"/>
      <c r="D357" s="569"/>
      <c r="E357"/>
      <c r="F357"/>
      <c r="G357"/>
      <c r="H357"/>
      <c r="I357"/>
      <c r="J357"/>
      <c r="K357"/>
      <c r="L357"/>
      <c r="M357"/>
      <c r="N357"/>
      <c r="O357"/>
      <c r="P357"/>
      <c r="Q357"/>
      <c r="R357"/>
      <c r="S357" s="15"/>
      <c r="T357"/>
      <c r="U357" s="542">
        <v>297</v>
      </c>
      <c r="V357" s="733"/>
      <c r="W357" s="569"/>
      <c r="X357"/>
      <c r="Y357"/>
      <c r="Z357"/>
      <c r="AA357"/>
      <c r="AB357"/>
      <c r="AC357"/>
      <c r="AD357"/>
      <c r="AE357"/>
      <c r="AF357"/>
      <c r="AG357"/>
      <c r="AH357"/>
      <c r="AI357"/>
      <c r="AJ357"/>
      <c r="AK357"/>
      <c r="AL357" s="15"/>
      <c r="AM357"/>
      <c r="AN357" s="542">
        <v>297</v>
      </c>
      <c r="AO357" s="733"/>
      <c r="AP357" s="569"/>
      <c r="AQ357"/>
      <c r="AR357"/>
      <c r="AS357"/>
      <c r="AT357"/>
      <c r="AU357"/>
      <c r="AV357"/>
      <c r="AW357"/>
      <c r="AX357"/>
      <c r="AY357"/>
      <c r="AZ357"/>
      <c r="BA357"/>
      <c r="BB357"/>
      <c r="BC357"/>
      <c r="BD357"/>
      <c r="BE357" s="15"/>
      <c r="BF357"/>
      <c r="BG357" s="542">
        <v>297</v>
      </c>
      <c r="BH357" s="733"/>
      <c r="BI357" s="569"/>
      <c r="BJ357"/>
      <c r="BK357"/>
      <c r="BL357"/>
      <c r="BM357"/>
      <c r="BN357"/>
      <c r="BO357"/>
      <c r="BP357"/>
      <c r="BQ357"/>
      <c r="BR357"/>
      <c r="BS357"/>
      <c r="BT357"/>
      <c r="BU357"/>
      <c r="BV357"/>
      <c r="BW357"/>
      <c r="BX357" s="15"/>
    </row>
    <row r="358" spans="1:76">
      <c r="A358"/>
      <c r="B358" s="542">
        <v>298</v>
      </c>
      <c r="C358" s="733"/>
      <c r="D358" s="569"/>
      <c r="E358"/>
      <c r="F358"/>
      <c r="G358"/>
      <c r="H358"/>
      <c r="I358"/>
      <c r="J358"/>
      <c r="K358"/>
      <c r="L358"/>
      <c r="M358"/>
      <c r="N358"/>
      <c r="O358"/>
      <c r="P358"/>
      <c r="Q358"/>
      <c r="R358"/>
      <c r="S358" s="15"/>
      <c r="T358"/>
      <c r="U358" s="542">
        <v>298</v>
      </c>
      <c r="V358" s="733"/>
      <c r="W358" s="569"/>
      <c r="X358"/>
      <c r="Y358"/>
      <c r="Z358"/>
      <c r="AA358"/>
      <c r="AB358"/>
      <c r="AC358"/>
      <c r="AD358"/>
      <c r="AE358"/>
      <c r="AF358"/>
      <c r="AG358"/>
      <c r="AH358"/>
      <c r="AI358"/>
      <c r="AJ358"/>
      <c r="AK358"/>
      <c r="AL358" s="15"/>
      <c r="AM358"/>
      <c r="AN358" s="542">
        <v>298</v>
      </c>
      <c r="AO358" s="733"/>
      <c r="AP358" s="569"/>
      <c r="AQ358"/>
      <c r="AR358"/>
      <c r="AS358"/>
      <c r="AT358"/>
      <c r="AU358"/>
      <c r="AV358"/>
      <c r="AW358"/>
      <c r="AX358"/>
      <c r="AY358"/>
      <c r="AZ358"/>
      <c r="BA358"/>
      <c r="BB358"/>
      <c r="BC358"/>
      <c r="BD358"/>
      <c r="BE358" s="15"/>
      <c r="BF358"/>
      <c r="BG358" s="542">
        <v>298</v>
      </c>
      <c r="BH358" s="733"/>
      <c r="BI358" s="569"/>
      <c r="BJ358"/>
      <c r="BK358"/>
      <c r="BL358"/>
      <c r="BM358"/>
      <c r="BN358"/>
      <c r="BO358"/>
      <c r="BP358"/>
      <c r="BQ358"/>
      <c r="BR358"/>
      <c r="BS358"/>
      <c r="BT358"/>
      <c r="BU358"/>
      <c r="BV358"/>
      <c r="BW358"/>
      <c r="BX358" s="15"/>
    </row>
    <row r="359" spans="1:76">
      <c r="A359"/>
      <c r="B359" s="542">
        <v>299</v>
      </c>
      <c r="C359" s="733"/>
      <c r="D359" s="569"/>
      <c r="E359"/>
      <c r="F359"/>
      <c r="G359"/>
      <c r="H359"/>
      <c r="I359"/>
      <c r="J359"/>
      <c r="K359"/>
      <c r="L359"/>
      <c r="M359"/>
      <c r="N359"/>
      <c r="O359"/>
      <c r="P359"/>
      <c r="Q359"/>
      <c r="R359"/>
      <c r="S359" s="15"/>
      <c r="T359"/>
      <c r="U359" s="542">
        <v>299</v>
      </c>
      <c r="V359" s="733"/>
      <c r="W359" s="569"/>
      <c r="X359"/>
      <c r="Y359"/>
      <c r="Z359"/>
      <c r="AA359"/>
      <c r="AB359"/>
      <c r="AC359"/>
      <c r="AD359"/>
      <c r="AE359"/>
      <c r="AF359"/>
      <c r="AG359"/>
      <c r="AH359"/>
      <c r="AI359"/>
      <c r="AJ359"/>
      <c r="AK359"/>
      <c r="AL359" s="15"/>
      <c r="AM359"/>
      <c r="AN359" s="542">
        <v>299</v>
      </c>
      <c r="AO359" s="733"/>
      <c r="AP359" s="569"/>
      <c r="AQ359"/>
      <c r="AR359"/>
      <c r="AS359"/>
      <c r="AT359"/>
      <c r="AU359"/>
      <c r="AV359"/>
      <c r="AW359"/>
      <c r="AX359"/>
      <c r="AY359"/>
      <c r="AZ359"/>
      <c r="BA359"/>
      <c r="BB359"/>
      <c r="BC359"/>
      <c r="BD359"/>
      <c r="BE359" s="15"/>
      <c r="BF359"/>
      <c r="BG359" s="542">
        <v>299</v>
      </c>
      <c r="BH359" s="733"/>
      <c r="BI359" s="569"/>
      <c r="BJ359"/>
      <c r="BK359"/>
      <c r="BL359"/>
      <c r="BM359"/>
      <c r="BN359"/>
      <c r="BO359"/>
      <c r="BP359"/>
      <c r="BQ359"/>
      <c r="BR359"/>
      <c r="BS359"/>
      <c r="BT359"/>
      <c r="BU359"/>
      <c r="BV359"/>
      <c r="BW359"/>
      <c r="BX359" s="15"/>
    </row>
    <row r="360" spans="1:76">
      <c r="A360"/>
      <c r="B360" s="542">
        <v>300</v>
      </c>
      <c r="C360" s="733"/>
      <c r="D360" s="569"/>
      <c r="E360"/>
      <c r="F360"/>
      <c r="G360"/>
      <c r="H360"/>
      <c r="I360"/>
      <c r="J360"/>
      <c r="K360"/>
      <c r="L360"/>
      <c r="M360"/>
      <c r="N360"/>
      <c r="O360"/>
      <c r="P360"/>
      <c r="Q360"/>
      <c r="R360"/>
      <c r="S360" s="15"/>
      <c r="T360"/>
      <c r="U360" s="542">
        <v>300</v>
      </c>
      <c r="V360" s="733"/>
      <c r="W360" s="569"/>
      <c r="X360"/>
      <c r="Y360"/>
      <c r="Z360"/>
      <c r="AA360"/>
      <c r="AB360"/>
      <c r="AC360"/>
      <c r="AD360"/>
      <c r="AE360"/>
      <c r="AF360"/>
      <c r="AG360"/>
      <c r="AH360"/>
      <c r="AI360"/>
      <c r="AJ360"/>
      <c r="AK360"/>
      <c r="AL360" s="15"/>
      <c r="AM360"/>
      <c r="AN360" s="542">
        <v>300</v>
      </c>
      <c r="AO360" s="733"/>
      <c r="AP360" s="569"/>
      <c r="AQ360"/>
      <c r="AR360"/>
      <c r="AS360"/>
      <c r="AT360"/>
      <c r="AU360"/>
      <c r="AV360"/>
      <c r="AW360"/>
      <c r="AX360"/>
      <c r="AY360"/>
      <c r="AZ360"/>
      <c r="BA360"/>
      <c r="BB360"/>
      <c r="BC360"/>
      <c r="BD360"/>
      <c r="BE360" s="15"/>
      <c r="BF360"/>
      <c r="BG360" s="542">
        <v>300</v>
      </c>
      <c r="BH360" s="733"/>
      <c r="BI360" s="569"/>
      <c r="BJ360"/>
      <c r="BK360"/>
      <c r="BL360"/>
      <c r="BM360"/>
      <c r="BN360"/>
      <c r="BO360"/>
      <c r="BP360"/>
      <c r="BQ360"/>
      <c r="BR360"/>
      <c r="BS360"/>
      <c r="BT360"/>
      <c r="BU360"/>
      <c r="BV360"/>
      <c r="BW360"/>
      <c r="BX360" s="15"/>
    </row>
    <row r="361" spans="1:76">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c r="AM361" s="80"/>
      <c r="AN361" s="80"/>
      <c r="AO361" s="80"/>
      <c r="AP361" s="80"/>
      <c r="AQ361" s="80"/>
      <c r="AR361" s="80"/>
      <c r="AS361" s="80"/>
      <c r="AT361" s="80"/>
      <c r="AU361" s="80"/>
      <c r="AV361" s="80"/>
      <c r="AW361" s="80"/>
      <c r="AX361" s="80"/>
      <c r="AY361" s="80"/>
      <c r="AZ361" s="80"/>
      <c r="BA361" s="80"/>
      <c r="BB361" s="80"/>
      <c r="BC361" s="80"/>
      <c r="BD361" s="80"/>
      <c r="BE361" s="81"/>
      <c r="BF361" s="80"/>
      <c r="BG361" s="80"/>
      <c r="BH361" s="80"/>
      <c r="BI361" s="80"/>
      <c r="BJ361" s="80"/>
      <c r="BK361" s="80"/>
      <c r="BL361" s="80"/>
      <c r="BM361" s="80"/>
      <c r="BN361" s="80"/>
      <c r="BO361" s="80"/>
      <c r="BP361" s="80"/>
      <c r="BQ361" s="80"/>
      <c r="BR361" s="80"/>
      <c r="BS361" s="80"/>
      <c r="BT361" s="80"/>
      <c r="BU361" s="80"/>
      <c r="BV361" s="80"/>
      <c r="BW361" s="80"/>
      <c r="BX361" s="81"/>
    </row>
  </sheetData>
  <sheetProtection algorithmName="SHA-512" hashValue="XqRTRBCxJBmzQlbaIT30ltlCXL99CdGP/jG9/2gBRStB5gSrLwjdXPTAGKerT0Q3n7YzNuf2+V2Ak91FkR7Glg==" saltValue="tZHgcbFb8PrLMCghSv74bQ==" spinCount="100000" sheet="1" scenarios="1" insertHyperlinks="0"/>
  <protectedRanges>
    <protectedRange sqref="BF5:BX18 BF21:BX44 BI48 BI52" name="Range4"/>
    <protectedRange sqref="AM5:BE18 AM21:BE44 AP48 AP52" name="Range3"/>
    <protectedRange sqref="T5:AL18 T21:AL44 W48 W52" name="Range2"/>
    <protectedRange sqref="A5:S18 A21:S44 D48 D52" name="Range1"/>
    <protectedRange sqref="C61:D360" name="Range1_1"/>
    <protectedRange sqref="V61:W360" name="Range1_2"/>
    <protectedRange sqref="AO61:AP360" name="Range1_3"/>
    <protectedRange sqref="BH61:BI360" name="Range1_4"/>
    <protectedRange sqref="D49:E49" name="Range1_5"/>
    <protectedRange sqref="W49:X49" name="Range1_6"/>
    <protectedRange sqref="AP49:AQ49 BI49:BJ49" name="Range1_7"/>
  </protectedRanges>
  <mergeCells count="52">
    <mergeCell ref="BF1:BX1"/>
    <mergeCell ref="BI3:BO3"/>
    <mergeCell ref="BT3:BX3"/>
    <mergeCell ref="BF48:BH48"/>
    <mergeCell ref="BI48:BJ48"/>
    <mergeCell ref="BF5:BX5"/>
    <mergeCell ref="BG52:BH52"/>
    <mergeCell ref="BI52:BJ52"/>
    <mergeCell ref="BF54:BH54"/>
    <mergeCell ref="B52:C52"/>
    <mergeCell ref="D52:E52"/>
    <mergeCell ref="W52:X52"/>
    <mergeCell ref="BI54:BJ54"/>
    <mergeCell ref="AN52:AO52"/>
    <mergeCell ref="AP52:AQ52"/>
    <mergeCell ref="AM54:AO54"/>
    <mergeCell ref="AP54:AQ54"/>
    <mergeCell ref="T54:V54"/>
    <mergeCell ref="W54:X54"/>
    <mergeCell ref="A54:C54"/>
    <mergeCell ref="D54:E54"/>
    <mergeCell ref="W3:AC3"/>
    <mergeCell ref="AH3:AL3"/>
    <mergeCell ref="T48:V48"/>
    <mergeCell ref="D48:E48"/>
    <mergeCell ref="A5:S5"/>
    <mergeCell ref="T5:AL5"/>
    <mergeCell ref="W48:X48"/>
    <mergeCell ref="H60:I60"/>
    <mergeCell ref="AA60:AB60"/>
    <mergeCell ref="AT60:AU60"/>
    <mergeCell ref="BM60:BN60"/>
    <mergeCell ref="AM1:BE1"/>
    <mergeCell ref="AP3:AV3"/>
    <mergeCell ref="BA3:BE3"/>
    <mergeCell ref="AM48:AO48"/>
    <mergeCell ref="AP48:AQ48"/>
    <mergeCell ref="AM5:BE5"/>
    <mergeCell ref="A1:S1"/>
    <mergeCell ref="D3:J3"/>
    <mergeCell ref="O3:S3"/>
    <mergeCell ref="A48:C48"/>
    <mergeCell ref="U52:V52"/>
    <mergeCell ref="T1:AL1"/>
    <mergeCell ref="BI49:BJ49"/>
    <mergeCell ref="AM49:AO49"/>
    <mergeCell ref="AP49:AQ49"/>
    <mergeCell ref="BF49:BH49"/>
    <mergeCell ref="A49:C49"/>
    <mergeCell ref="D49:E49"/>
    <mergeCell ref="T49:V49"/>
    <mergeCell ref="W49:X49"/>
  </mergeCells>
  <phoneticPr fontId="0" type="noConversion"/>
  <hyperlinks>
    <hyperlink ref="M54" location="'T3.5.9 Guidance Notes'!A1" display="Link to GUIDANCE NOTES for laminated structures" xr:uid="{0D06B6D5-5888-42C6-B10D-C1DBBAA8323A}"/>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6484375" defaultRowHeight="12.75"/>
  <cols>
    <col min="1" max="1" width="3.46484375" customWidth="1"/>
    <col min="2" max="2" width="45.6640625" customWidth="1"/>
    <col min="3" max="3" width="16.6640625" bestFit="1" customWidth="1"/>
    <col min="4" max="4" width="15.46484375" bestFit="1" customWidth="1"/>
    <col min="5" max="5" width="17.33203125" bestFit="1" customWidth="1"/>
    <col min="6" max="6" width="15.46484375" bestFit="1" customWidth="1"/>
    <col min="7" max="7" width="17.33203125" bestFit="1" customWidth="1"/>
    <col min="8" max="8" width="15.46484375" bestFit="1" customWidth="1"/>
    <col min="9" max="9" width="17.33203125" bestFit="1" customWidth="1"/>
    <col min="10" max="10" width="15.46484375" bestFit="1" customWidth="1"/>
  </cols>
  <sheetData>
    <row r="1" spans="2:14" ht="15">
      <c r="B1" s="1" t="s">
        <v>684</v>
      </c>
    </row>
    <row r="2" spans="2:14">
      <c r="L2" s="162" t="s">
        <v>219</v>
      </c>
      <c r="M2" s="162"/>
      <c r="N2" s="162"/>
    </row>
    <row r="3" spans="2:14" ht="13.15">
      <c r="B3" s="41" t="s">
        <v>326</v>
      </c>
      <c r="C3" s="41" t="s">
        <v>685</v>
      </c>
      <c r="D3" s="41" t="s">
        <v>686</v>
      </c>
      <c r="E3" s="41" t="s">
        <v>687</v>
      </c>
      <c r="F3" s="41" t="s">
        <v>688</v>
      </c>
      <c r="G3" s="41" t="s">
        <v>689</v>
      </c>
      <c r="H3" s="41" t="s">
        <v>690</v>
      </c>
      <c r="I3" s="41" t="s">
        <v>691</v>
      </c>
      <c r="J3" s="41" t="s">
        <v>692</v>
      </c>
    </row>
    <row r="4" spans="2:14">
      <c r="B4" s="362" t="s">
        <v>329</v>
      </c>
      <c r="C4" s="35" t="s">
        <v>175</v>
      </c>
      <c r="D4" s="591" t="s">
        <v>50</v>
      </c>
      <c r="E4" s="35" t="s">
        <v>175</v>
      </c>
      <c r="F4" s="591" t="s">
        <v>50</v>
      </c>
      <c r="G4" s="35" t="s">
        <v>175</v>
      </c>
      <c r="H4" s="591" t="s">
        <v>50</v>
      </c>
      <c r="I4" s="35" t="s">
        <v>175</v>
      </c>
      <c r="J4" s="591" t="s">
        <v>50</v>
      </c>
    </row>
    <row r="5" spans="2:14">
      <c r="B5" s="42" t="s">
        <v>331</v>
      </c>
      <c r="C5" s="36" t="str">
        <f>HLOOKUP(C4,MaterialData!$C$3:$O$4,2,FALSE)</f>
        <v>Steel</v>
      </c>
      <c r="D5" s="617" t="s">
        <v>686</v>
      </c>
      <c r="E5" s="36" t="str">
        <f>HLOOKUP(E4,MaterialData!$C$3:$O$4,2,FALSE)</f>
        <v>Steel</v>
      </c>
      <c r="F5" s="617" t="s">
        <v>693</v>
      </c>
      <c r="G5" s="36" t="str">
        <f>HLOOKUP(G4,MaterialData!$C$3:$O$4,2,FALSE)</f>
        <v>Steel</v>
      </c>
      <c r="H5" s="617" t="s">
        <v>694</v>
      </c>
      <c r="I5" s="36" t="str">
        <f>HLOOKUP(I4,MaterialData!$C$3:$O$4,2,FALSE)</f>
        <v>Steel</v>
      </c>
      <c r="J5" s="617" t="s">
        <v>692</v>
      </c>
    </row>
    <row r="6" spans="2:14">
      <c r="B6" s="362" t="s">
        <v>194</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195</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196</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197</v>
      </c>
      <c r="C9" s="36">
        <f>INDEX(Innertable,MATCH($B9,MaterialData!$B$6:$B$11,0),MATCH(C$5,MaterialData!$C$4:$O$4,0))</f>
        <v>180000000</v>
      </c>
      <c r="D9" s="618" t="s">
        <v>111</v>
      </c>
      <c r="E9" s="36">
        <f>INDEX(Innertable,MATCH($B9,MaterialData!$B$6:$B$11,0),MATCH(E$5,MaterialData!$C$4:$O$4,0))</f>
        <v>180000000</v>
      </c>
      <c r="F9" s="618" t="s">
        <v>111</v>
      </c>
      <c r="G9" s="36">
        <f>INDEX(Innertable,MATCH($B9,MaterialData!$B$6:$B$11,0),MATCH(G$5,MaterialData!$C$4:$O$4,0))</f>
        <v>180000000</v>
      </c>
      <c r="H9" s="618" t="s">
        <v>111</v>
      </c>
      <c r="I9" s="36">
        <f>INDEX(Innertable,MATCH($B9,MaterialData!$B$6:$B$11,0),MATCH(I$5,MaterialData!$C$4:$O$4,0))</f>
        <v>180000000</v>
      </c>
      <c r="J9" s="618" t="s">
        <v>111</v>
      </c>
    </row>
    <row r="10" spans="2:14">
      <c r="B10" s="42" t="s">
        <v>198</v>
      </c>
      <c r="C10" s="36">
        <f>INDEX(Innertable,MATCH($B10,MaterialData!$B$6:$B$11,0),MATCH(C$5,MaterialData!$C$4:$O$4,0))</f>
        <v>300000000</v>
      </c>
      <c r="D10" s="618" t="s">
        <v>111</v>
      </c>
      <c r="E10" s="36">
        <f>INDEX(Innertable,MATCH($B10,MaterialData!$B$6:$B$11,0),MATCH(E$5,MaterialData!$C$4:$O$4,0))</f>
        <v>300000000</v>
      </c>
      <c r="F10" s="618" t="s">
        <v>111</v>
      </c>
      <c r="G10" s="36">
        <f>INDEX(Innertable,MATCH($B10,MaterialData!$B$6:$B$11,0),MATCH(G$5,MaterialData!$C$4:$O$4,0))</f>
        <v>300000000</v>
      </c>
      <c r="H10" s="618" t="s">
        <v>111</v>
      </c>
      <c r="I10" s="36">
        <f>INDEX(Innertable,MATCH($B10,MaterialData!$B$6:$B$11,0),MATCH(I$5,MaterialData!$C$4:$O$4,0))</f>
        <v>300000000</v>
      </c>
      <c r="J10" s="618" t="s">
        <v>111</v>
      </c>
    </row>
    <row r="11" spans="2:14">
      <c r="B11" s="42" t="s">
        <v>199</v>
      </c>
      <c r="C11" s="36">
        <f>INDEX(Innertable,MATCH($B11,MaterialData!$B$6:$B$11,0),MATCH(C$5,MaterialData!$C$4:$O$4,0))</f>
        <v>219000000</v>
      </c>
      <c r="D11" s="73">
        <f>'EV5.5.4 Alt. Matl - Shear'!D54*1000000</f>
        <v>0</v>
      </c>
      <c r="E11" s="36">
        <f>INDEX(Innertable,MATCH($B11,MaterialData!$B$6:$B$11,0),MATCH(E$5,MaterialData!$C$4:$O$4,0))</f>
        <v>219000000</v>
      </c>
      <c r="F11" s="73">
        <f>'EV5.5.4 Alt. Matl - Shear'!W54*1000000</f>
        <v>0</v>
      </c>
      <c r="G11" s="36">
        <f>INDEX(Innertable,MATCH($B11,MaterialData!$B$6:$B$11,0),MATCH(G$5,MaterialData!$C$4:$O$4,0))</f>
        <v>219000000</v>
      </c>
      <c r="H11" s="73">
        <f>'EV5.5.4 Alt. Matl - Shear'!AP54*1000000</f>
        <v>0</v>
      </c>
      <c r="I11" s="36">
        <f>INDEX(Innertable,MATCH($B11,MaterialData!$B$6:$B$11,0),MATCH(I$5,MaterialData!$C$4:$O$4,0))</f>
        <v>219000000</v>
      </c>
      <c r="J11" s="73">
        <f>'EV5.5.4 Alt. Matl - Shear'!BI54*1000000</f>
        <v>0</v>
      </c>
    </row>
    <row r="12" spans="2:14">
      <c r="B12" s="42" t="s">
        <v>371</v>
      </c>
      <c r="C12" s="176">
        <v>1.25</v>
      </c>
      <c r="D12" s="619">
        <f>SUM('EV5.5.4 Alt. Matl - 3pt Bending'!C55:C57)</f>
        <v>2</v>
      </c>
      <c r="E12" s="176">
        <v>0.9</v>
      </c>
      <c r="F12" s="619">
        <f>SUM('EV5.5.4 Alt. Matl - 3pt Bending'!V55:V57)</f>
        <v>2</v>
      </c>
      <c r="G12" s="176">
        <v>0.9</v>
      </c>
      <c r="H12" s="619">
        <f>SUM('EV5.5.4 Alt. Matl - 3pt Bending'!AO55:AO57)</f>
        <v>2</v>
      </c>
      <c r="I12" s="176">
        <v>0.9</v>
      </c>
      <c r="J12" s="619">
        <f>SUM('EV5.5.4 Alt. Matl - 3pt Bending'!BH55:BH57)</f>
        <v>2</v>
      </c>
    </row>
    <row r="13" spans="2:14">
      <c r="B13" s="42" t="s">
        <v>373</v>
      </c>
      <c r="C13" s="176" t="s">
        <v>111</v>
      </c>
      <c r="D13" s="619">
        <f>'EV5.5.4 Alt. Matl - 3pt Bending'!C56</f>
        <v>1</v>
      </c>
      <c r="E13" s="176" t="s">
        <v>111</v>
      </c>
      <c r="F13" s="619">
        <f>'EV5.5.4 Alt. Matl - 3pt Bending'!V56</f>
        <v>1</v>
      </c>
      <c r="G13" s="176" t="s">
        <v>111</v>
      </c>
      <c r="H13" s="619">
        <f>'EV5.5.4 Alt. Matl - 3pt Bending'!AO56</f>
        <v>1</v>
      </c>
      <c r="I13" s="176" t="s">
        <v>111</v>
      </c>
      <c r="J13" s="619">
        <f>'EV5.5.4 Alt. Matl - 3pt Bending'!BH56</f>
        <v>1</v>
      </c>
    </row>
    <row r="14" spans="2:14">
      <c r="B14" s="42" t="s">
        <v>374</v>
      </c>
      <c r="C14" s="176" t="s">
        <v>111</v>
      </c>
      <c r="D14" s="619">
        <f>'EV5.5.4 Alt. Matl - 3pt Bending'!C57</f>
        <v>1</v>
      </c>
      <c r="E14" s="176" t="s">
        <v>111</v>
      </c>
      <c r="F14" s="619">
        <f>'EV5.5.4 Alt. Matl - 3pt Bending'!V57</f>
        <v>1</v>
      </c>
      <c r="G14" s="176" t="s">
        <v>111</v>
      </c>
      <c r="H14" s="619">
        <f>'EV5.5.4 Alt. Matl - 3pt Bending'!AO57</f>
        <v>1</v>
      </c>
      <c r="I14" s="176" t="s">
        <v>111</v>
      </c>
      <c r="J14" s="619">
        <f>'EV5.5.4 Alt. Matl - 3pt Bending'!BH57</f>
        <v>1</v>
      </c>
    </row>
    <row r="15" spans="2:14">
      <c r="B15" s="362" t="s">
        <v>695</v>
      </c>
      <c r="C15" s="158">
        <f>D15</f>
        <v>150</v>
      </c>
      <c r="D15" s="158">
        <f>'EV5 Accumulator Container'!H9</f>
        <v>150</v>
      </c>
      <c r="E15" s="158">
        <f>F15</f>
        <v>100</v>
      </c>
      <c r="F15" s="158">
        <f>'EV5 Accumulator Container'!H12</f>
        <v>100</v>
      </c>
      <c r="G15" s="158">
        <f>H15</f>
        <v>90</v>
      </c>
      <c r="H15" s="158">
        <f>'EV5 Accumulator Container'!H15</f>
        <v>90</v>
      </c>
      <c r="I15" s="158">
        <f>J15</f>
        <v>150</v>
      </c>
      <c r="J15" s="158">
        <f>'EV5 Accumulator Container'!H18</f>
        <v>150</v>
      </c>
    </row>
    <row r="16" spans="2:14">
      <c r="B16" s="362" t="s">
        <v>336</v>
      </c>
      <c r="C16" s="159">
        <f>0.001*C15*(0.001*C12)^3/12</f>
        <v>2.4414062500000002E-11</v>
      </c>
      <c r="D16" s="176">
        <f>(D15/'EV5.5.4 Alt. Matl - 3pt Bending'!C54)*'EV5.5.4 Alt. Matl - 3pt Bending'!C58*0.000000000001</f>
        <v>1E-10</v>
      </c>
      <c r="E16" s="159">
        <f>E15*E12^3/12000000000000</f>
        <v>6.0750000000000007E-12</v>
      </c>
      <c r="F16" s="204">
        <f>(F15/'EV5.5.4 Alt. Matl - 3pt Bending'!V54)*'EV5.5.4 Alt. Matl - 3pt Bending'!V58*0.000000000001</f>
        <v>6.6666666666666656E-11</v>
      </c>
      <c r="G16" s="159">
        <f>G15*G12^3/12000000000000</f>
        <v>5.4675000000000011E-12</v>
      </c>
      <c r="H16" s="204">
        <f>(H15/'EV5.5.4 Alt. Matl - 3pt Bending'!AO54)*'EV5.5.4 Alt. Matl - 3pt Bending'!AO58*0.000000000001</f>
        <v>6E-11</v>
      </c>
      <c r="I16" s="159">
        <f>I15*I12^3/12000000000000</f>
        <v>9.1125000000000002E-12</v>
      </c>
      <c r="J16" s="204">
        <f>(J15/'EV5.5.4 Alt. Matl - 3pt Bending'!BH54)*'EV5.5.4 Alt. Matl - 3pt Bending'!BH58*0.000000000001</f>
        <v>1E-10</v>
      </c>
    </row>
    <row r="17" spans="2:10">
      <c r="B17" s="42" t="s">
        <v>337</v>
      </c>
      <c r="C17" s="144">
        <f t="shared" ref="C17:J17" si="0">C16*C6</f>
        <v>4.8828125</v>
      </c>
      <c r="D17" s="144">
        <f t="shared" si="0"/>
        <v>0</v>
      </c>
      <c r="E17" s="144">
        <f t="shared" si="0"/>
        <v>1.2150000000000001</v>
      </c>
      <c r="F17" s="144">
        <f t="shared" si="0"/>
        <v>0</v>
      </c>
      <c r="G17" s="144">
        <f t="shared" si="0"/>
        <v>1.0935000000000001</v>
      </c>
      <c r="H17" s="144">
        <f t="shared" si="0"/>
        <v>0</v>
      </c>
      <c r="I17" s="144">
        <f t="shared" si="0"/>
        <v>1.8225</v>
      </c>
      <c r="J17" s="144">
        <f t="shared" si="0"/>
        <v>0</v>
      </c>
    </row>
    <row r="18" spans="2:10">
      <c r="B18" s="42" t="s">
        <v>338</v>
      </c>
      <c r="C18" s="158">
        <f>C15*C12</f>
        <v>187.5</v>
      </c>
      <c r="D18" s="158">
        <f>('EV5.5.4 Alt. Matl - 3pt Bending'!C56+'EV5.5.4 Alt. Matl - 3pt Bending'!C57)*'EV5.5.4 Alt. Matls Summary'!D15</f>
        <v>300</v>
      </c>
      <c r="E18" s="158">
        <f>E15*E12</f>
        <v>90</v>
      </c>
      <c r="F18" s="158">
        <f>('EV5.5.4 Alt. Matl - 3pt Bending'!V56+'EV5.5.4 Alt. Matl - 3pt Bending'!V57)*'EV5.5.4 Alt. Matls Summary'!F15</f>
        <v>200</v>
      </c>
      <c r="G18" s="158">
        <f>G15*G12</f>
        <v>81</v>
      </c>
      <c r="H18" s="158">
        <f>('EV5.5.4 Alt. Matl - 3pt Bending'!AO56+'EV5.5.4 Alt. Matl - 3pt Bending'!AO57)*'EV5.5.4 Alt. Matls Summary'!H15</f>
        <v>180</v>
      </c>
      <c r="I18" s="158">
        <f>I15*I12</f>
        <v>135</v>
      </c>
      <c r="J18" s="158">
        <f>('EV5.5.4 Alt. Matl - 3pt Bending'!BH56+'EV5.5.4 Alt. Matl - 3pt Bending'!BH57)*'EV5.5.4 Alt. Matls Summary'!J15</f>
        <v>300</v>
      </c>
    </row>
    <row r="19" spans="2:10">
      <c r="B19" s="42" t="s">
        <v>340</v>
      </c>
      <c r="C19" s="144">
        <f t="shared" ref="C19:J19" si="1">C18*C8*0.000001</f>
        <v>68437.5</v>
      </c>
      <c r="D19" s="144">
        <f t="shared" si="1"/>
        <v>0</v>
      </c>
      <c r="E19" s="144">
        <f t="shared" si="1"/>
        <v>32850</v>
      </c>
      <c r="F19" s="144">
        <f t="shared" si="1"/>
        <v>0</v>
      </c>
      <c r="G19" s="144">
        <f t="shared" si="1"/>
        <v>29565</v>
      </c>
      <c r="H19" s="144">
        <f t="shared" si="1"/>
        <v>0</v>
      </c>
      <c r="I19" s="144">
        <f t="shared" si="1"/>
        <v>49275</v>
      </c>
      <c r="J19" s="144">
        <f t="shared" si="1"/>
        <v>0</v>
      </c>
    </row>
    <row r="21" spans="2:10" ht="13.15">
      <c r="B21" s="3" t="s">
        <v>696</v>
      </c>
    </row>
    <row r="22" spans="2:10">
      <c r="B22" s="362" t="s">
        <v>697</v>
      </c>
      <c r="C22" s="362"/>
      <c r="D22" s="175">
        <f>D19/C19</f>
        <v>0</v>
      </c>
      <c r="E22" s="362"/>
      <c r="F22" s="175">
        <f>F19/E19</f>
        <v>0</v>
      </c>
      <c r="G22" s="362"/>
      <c r="H22" s="175">
        <f>H19/G19</f>
        <v>0</v>
      </c>
      <c r="I22" s="362"/>
      <c r="J22" s="175">
        <f>J19/I19</f>
        <v>0</v>
      </c>
    </row>
    <row r="23" spans="2:10">
      <c r="B23" s="362" t="s">
        <v>698</v>
      </c>
      <c r="C23" s="362"/>
      <c r="D23" s="175">
        <f>D17/C17</f>
        <v>0</v>
      </c>
      <c r="E23" s="362"/>
      <c r="F23" s="175">
        <f>F17/E17</f>
        <v>0</v>
      </c>
      <c r="G23" s="362"/>
      <c r="H23" s="175">
        <f>H17/G17</f>
        <v>0</v>
      </c>
      <c r="I23" s="362"/>
      <c r="J23" s="175">
        <f>J17/I17</f>
        <v>0</v>
      </c>
    </row>
    <row r="24" spans="2:10">
      <c r="B24" s="362" t="s">
        <v>699</v>
      </c>
      <c r="C24" s="362"/>
      <c r="D24" s="175">
        <f>((D13+D14)*D11)/(C11*C12)</f>
        <v>0</v>
      </c>
      <c r="E24" s="362"/>
      <c r="F24" s="175">
        <f>((F13+F14)*F11)/(E11*E12)</f>
        <v>0</v>
      </c>
      <c r="G24" s="362"/>
      <c r="H24" s="175">
        <f>((H13+H14)*H11)/(G11*G12)</f>
        <v>0</v>
      </c>
      <c r="I24" s="362"/>
      <c r="J24" s="175">
        <f>((J13+J14)*J11)/(I11*I12)</f>
        <v>0</v>
      </c>
    </row>
    <row r="25" spans="2:10" ht="13.15">
      <c r="B25" s="514"/>
      <c r="C25" s="514"/>
      <c r="D25" s="132" t="str">
        <f>IF(OR(D22&lt;1,D23&lt;1,D24&lt;1,),"FAIL","PASS")</f>
        <v>FAIL</v>
      </c>
      <c r="E25" s="514"/>
      <c r="F25" s="132" t="str">
        <f>IF(OR(F22&lt;1,F23&lt;1,F24&lt;1,),"FAIL","PASS")</f>
        <v>FAIL</v>
      </c>
      <c r="G25" s="514"/>
      <c r="H25" s="132" t="str">
        <f>IF(OR(H22&lt;1,H23&lt;1,H24&lt;1,),"FAIL","PASS")</f>
        <v>FAIL</v>
      </c>
      <c r="I25" s="514"/>
      <c r="J25" s="132" t="str">
        <f>IF(OR(J22&lt;1,J23&lt;1,J24&lt;1,),"FAIL","PASS")</f>
        <v>FAIL</v>
      </c>
    </row>
    <row r="27" spans="2:10" ht="13.15">
      <c r="B27" s="3" t="s">
        <v>700</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eWWg+XrZbWRfE0PSKk/9nj5GVIRUiA9S2thRAgnjcLFWITl5vJ2U7+62JYSzLByyncJgICb0DeDmn3V/wjA3Q==" saltValue="6Om4naCbvGgUa12R1eawlw==" spinCount="100000" sheet="1" scenarios="1" insertHyperlinks="0"/>
  <protectedRanges>
    <protectedRange sqref="B28:J186" name="Range1"/>
  </protectedRanges>
  <phoneticPr fontId="0" type="noConversion"/>
  <conditionalFormatting sqref="D22:D24">
    <cfRule type="cellIs" dxfId="28" priority="84" stopIfTrue="1" operator="lessThan">
      <formula>1</formula>
    </cfRule>
    <cfRule type="cellIs" dxfId="27" priority="85" stopIfTrue="1" operator="greaterThanOrEqual">
      <formula>1</formula>
    </cfRule>
  </conditionalFormatting>
  <conditionalFormatting sqref="D25">
    <cfRule type="cellIs" dxfId="26" priority="119" stopIfTrue="1" operator="equal">
      <formula>"N/A"</formula>
    </cfRule>
    <cfRule type="cellIs" dxfId="25" priority="120" stopIfTrue="1" operator="equal">
      <formula>"FAIL"</formula>
    </cfRule>
    <cfRule type="cellIs" dxfId="24" priority="121" stopIfTrue="1" operator="equal">
      <formula>"PASS"</formula>
    </cfRule>
  </conditionalFormatting>
  <conditionalFormatting sqref="F22:F24">
    <cfRule type="cellIs" dxfId="23" priority="14" stopIfTrue="1" operator="lessThan">
      <formula>1</formula>
    </cfRule>
    <cfRule type="cellIs" dxfId="22" priority="15" stopIfTrue="1" operator="greaterThanOrEqual">
      <formula>1</formula>
    </cfRule>
  </conditionalFormatting>
  <conditionalFormatting sqref="F25">
    <cfRule type="cellIs" dxfId="21" priority="37" stopIfTrue="1" operator="equal">
      <formula>"N/A"</formula>
    </cfRule>
    <cfRule type="cellIs" dxfId="20" priority="38" stopIfTrue="1" operator="equal">
      <formula>"FAIL"</formula>
    </cfRule>
    <cfRule type="cellIs" dxfId="19" priority="39" stopIfTrue="1" operator="equal">
      <formula>"PASS"</formula>
    </cfRule>
  </conditionalFormatting>
  <conditionalFormatting sqref="H22:H24">
    <cfRule type="cellIs" dxfId="18" priority="1" stopIfTrue="1" operator="lessThan">
      <formula>1</formula>
    </cfRule>
    <cfRule type="cellIs" dxfId="17" priority="2" stopIfTrue="1" operator="greaterThanOrEqual">
      <formula>1</formula>
    </cfRule>
  </conditionalFormatting>
  <conditionalFormatting sqref="H25">
    <cfRule type="cellIs" dxfId="16" priority="7" stopIfTrue="1" operator="equal">
      <formula>"N/A"</formula>
    </cfRule>
    <cfRule type="cellIs" dxfId="15" priority="8" stopIfTrue="1" operator="equal">
      <formula>"FAIL"</formula>
    </cfRule>
    <cfRule type="cellIs" dxfId="14" priority="9" stopIfTrue="1" operator="equal">
      <formula>"PASS"</formula>
    </cfRule>
  </conditionalFormatting>
  <conditionalFormatting sqref="J22:J24">
    <cfRule type="cellIs" dxfId="13" priority="10" stopIfTrue="1" operator="lessThan">
      <formula>1</formula>
    </cfRule>
    <cfRule type="cellIs" dxfId="12" priority="11" stopIfTrue="1" operator="greaterThanOrEqual">
      <formula>1</formula>
    </cfRule>
  </conditionalFormatting>
  <conditionalFormatting sqref="J25">
    <cfRule type="cellIs" dxfId="11" priority="28" stopIfTrue="1" operator="equal">
      <formula>"N/A"</formula>
    </cfRule>
    <cfRule type="cellIs" dxfId="10" priority="29" stopIfTrue="1" operator="equal">
      <formula>"FAIL"</formula>
    </cfRule>
    <cfRule type="cellIs" dxfId="9" priority="30" stopIfTrue="1" operator="equal">
      <formula>"PASS"</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heetViews>
  <sheetFormatPr baseColWidth="10" defaultColWidth="11.46484375" defaultRowHeight="12.75"/>
  <cols>
    <col min="1" max="1" width="4.33203125" customWidth="1"/>
    <col min="2" max="2" width="29" customWidth="1"/>
    <col min="3" max="3" width="13.53125" customWidth="1"/>
    <col min="4" max="4" width="7.46484375" customWidth="1"/>
    <col min="5" max="5" width="6.1328125" bestFit="1" customWidth="1"/>
    <col min="6" max="6" width="7.46484375" customWidth="1"/>
    <col min="7" max="7" width="6.1328125" bestFit="1" customWidth="1"/>
  </cols>
  <sheetData>
    <row r="1" spans="2:7" ht="15">
      <c r="B1" s="1" t="s">
        <v>701</v>
      </c>
    </row>
    <row r="3" spans="2:7" ht="13.15">
      <c r="B3" s="57" t="s">
        <v>702</v>
      </c>
      <c r="C3" s="754" t="str">
        <f>IF(C5="YES","CHECK",IF(OR(C16&lt;=1,C16=""),"FAIL",IF(C16&lt;2,"CHECK","PASS")))</f>
        <v>FAIL</v>
      </c>
      <c r="D3" s="1527"/>
      <c r="E3" s="1528"/>
      <c r="F3" s="1528"/>
      <c r="G3" s="1528"/>
    </row>
    <row r="4" spans="2:7" ht="13.15">
      <c r="B4" s="735"/>
      <c r="C4" s="751"/>
      <c r="D4" s="749"/>
      <c r="E4" s="749"/>
      <c r="F4" s="749"/>
      <c r="G4" s="749"/>
    </row>
    <row r="5" spans="2:7" ht="13.15">
      <c r="B5" s="57" t="s">
        <v>703</v>
      </c>
      <c r="C5" s="752" t="s">
        <v>122</v>
      </c>
      <c r="D5" s="749"/>
      <c r="E5" s="749"/>
      <c r="F5" s="749"/>
      <c r="G5" s="749"/>
    </row>
    <row r="6" spans="2:7" ht="13.15">
      <c r="B6" s="814" t="str">
        <f>IF(C5="YES","Show proof below","")</f>
        <v/>
      </c>
      <c r="C6" s="753"/>
      <c r="D6" s="43"/>
    </row>
    <row r="7" spans="2:7">
      <c r="B7" s="620" t="s">
        <v>704</v>
      </c>
      <c r="C7" s="755"/>
      <c r="D7" s="164"/>
      <c r="E7" s="65"/>
      <c r="F7" s="66"/>
      <c r="G7" s="65"/>
    </row>
    <row r="8" spans="2:7">
      <c r="B8" s="390" t="s">
        <v>705</v>
      </c>
      <c r="C8" s="75"/>
      <c r="D8" s="4"/>
      <c r="E8" s="65"/>
      <c r="G8" s="65"/>
    </row>
    <row r="9" spans="2:7">
      <c r="B9" s="368" t="s">
        <v>706</v>
      </c>
      <c r="C9" s="17"/>
      <c r="E9" s="64"/>
      <c r="G9" s="64"/>
    </row>
    <row r="10" spans="2:7">
      <c r="B10" s="390" t="s">
        <v>707</v>
      </c>
      <c r="C10" s="167">
        <f>C9*C8</f>
        <v>0</v>
      </c>
      <c r="D10" s="165"/>
      <c r="E10" s="65"/>
      <c r="F10" s="66"/>
      <c r="G10" s="65"/>
    </row>
    <row r="11" spans="2:7">
      <c r="B11" s="390"/>
      <c r="C11" s="423"/>
      <c r="D11" s="165"/>
      <c r="E11" s="65"/>
      <c r="F11" s="66"/>
      <c r="G11" s="65"/>
    </row>
    <row r="12" spans="2:7">
      <c r="B12" s="390" t="s">
        <v>708</v>
      </c>
      <c r="C12" s="99"/>
      <c r="D12" s="165"/>
      <c r="E12" s="65"/>
      <c r="F12" s="66"/>
      <c r="G12" s="65"/>
    </row>
    <row r="13" spans="2:7">
      <c r="B13" s="390" t="s">
        <v>485</v>
      </c>
      <c r="C13" s="206"/>
      <c r="D13" s="165"/>
      <c r="E13" s="65"/>
      <c r="F13" s="66"/>
      <c r="G13" s="65"/>
    </row>
    <row r="14" spans="2:7">
      <c r="B14" s="390" t="s">
        <v>709</v>
      </c>
      <c r="C14" s="166">
        <f>C12*C13</f>
        <v>0</v>
      </c>
      <c r="D14" s="165"/>
      <c r="E14" s="65"/>
      <c r="F14" s="66"/>
      <c r="G14" s="65"/>
    </row>
    <row r="15" spans="2:7">
      <c r="B15" s="39"/>
      <c r="C15" s="39"/>
      <c r="D15" s="4"/>
      <c r="E15" s="65"/>
      <c r="G15" s="65"/>
    </row>
    <row r="16" spans="2:7" ht="13.15">
      <c r="B16" s="390" t="s">
        <v>710</v>
      </c>
      <c r="C16" s="424" t="str">
        <f>IF(NOT(C14=0),C10/C14,"")</f>
        <v/>
      </c>
      <c r="D16" s="4"/>
      <c r="E16" s="162" t="s">
        <v>219</v>
      </c>
      <c r="G16" s="64"/>
    </row>
    <row r="17" spans="2:13" ht="13.15">
      <c r="C17" s="361" t="str">
        <f>IF(AND(C16&gt;=1,C16&lt;2),"Safety factor must be &gt;2 as per T3.2.8. Please elaborate.","")</f>
        <v/>
      </c>
    </row>
    <row r="18" spans="2:13" ht="13.15">
      <c r="B18" s="3" t="s">
        <v>711</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UDyLZDGmWysKly2SPFTI+zcTTcpaokn37zQpdZ3HFFnMb+rXObBG4F3iIMdLKWAChi4wdPZETavmjYwklGDxLA==" saltValue="feVD+YOyMZDFbcuJhnhavg==" spinCount="100000" sheet="1" scenarios="1" insertHyperlinks="0"/>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heetViews>
  <sheetFormatPr baseColWidth="10" defaultColWidth="11.46484375" defaultRowHeight="12.75"/>
  <cols>
    <col min="1" max="1" width="5.1328125" customWidth="1"/>
    <col min="2" max="2" width="46.86328125" customWidth="1"/>
    <col min="3" max="3" width="11.46484375" customWidth="1"/>
    <col min="4" max="4" width="10.53125" customWidth="1"/>
    <col min="5" max="5" width="5.86328125" customWidth="1"/>
    <col min="6" max="6" width="8.6640625" customWidth="1"/>
    <col min="7" max="7" width="11.46484375" customWidth="1"/>
    <col min="8" max="8" width="12.46484375" bestFit="1" customWidth="1"/>
    <col min="9" max="9" width="11.46484375" customWidth="1"/>
    <col min="10" max="10" width="5.1328125" customWidth="1"/>
    <col min="11" max="15" width="11.46484375" customWidth="1"/>
  </cols>
  <sheetData>
    <row r="1" spans="2:15" ht="15">
      <c r="B1" s="1" t="s">
        <v>712</v>
      </c>
      <c r="G1" s="104"/>
      <c r="H1" s="104"/>
      <c r="I1" s="104"/>
      <c r="J1" s="104"/>
      <c r="K1" s="104"/>
      <c r="L1" s="104"/>
      <c r="M1" s="104"/>
      <c r="N1" s="104"/>
      <c r="O1" s="104"/>
    </row>
    <row r="2" spans="2:15" ht="13.15">
      <c r="B2" s="3" t="s">
        <v>713</v>
      </c>
      <c r="G2" s="104"/>
      <c r="H2" s="104"/>
      <c r="I2" s="104"/>
      <c r="J2" s="104"/>
      <c r="K2" s="104"/>
      <c r="L2" s="104"/>
      <c r="M2" s="104"/>
      <c r="N2" s="104"/>
      <c r="O2" s="104"/>
    </row>
    <row r="3" spans="2:15" s="6" customFormat="1" ht="26.25">
      <c r="B3" s="52" t="s">
        <v>326</v>
      </c>
      <c r="C3" s="52" t="s">
        <v>328</v>
      </c>
      <c r="D3" s="52" t="s">
        <v>714</v>
      </c>
      <c r="G3" s="133"/>
      <c r="H3" s="133"/>
      <c r="I3" s="133"/>
      <c r="J3" s="133"/>
      <c r="K3" s="133"/>
      <c r="L3" s="133"/>
      <c r="M3" s="133"/>
      <c r="N3" s="133"/>
      <c r="O3" s="133"/>
    </row>
    <row r="4" spans="2:15">
      <c r="B4" s="362" t="s">
        <v>329</v>
      </c>
      <c r="C4" s="17" t="s">
        <v>175</v>
      </c>
      <c r="D4" s="35" t="str">
        <f>C4</f>
        <v>Steel</v>
      </c>
      <c r="G4" s="104"/>
      <c r="H4" s="104"/>
      <c r="I4" s="104"/>
      <c r="J4" s="104"/>
      <c r="K4" s="104"/>
      <c r="L4" s="104"/>
      <c r="M4" s="104"/>
      <c r="N4" s="104"/>
      <c r="O4" s="104"/>
    </row>
    <row r="5" spans="2:15">
      <c r="B5" s="362" t="s">
        <v>715</v>
      </c>
      <c r="C5" s="17" t="s">
        <v>214</v>
      </c>
      <c r="D5" s="589" t="s">
        <v>111</v>
      </c>
      <c r="G5" s="104"/>
      <c r="H5" s="104"/>
      <c r="I5" s="104"/>
      <c r="J5" s="104"/>
      <c r="K5" s="104"/>
      <c r="L5" s="104"/>
      <c r="M5" s="104"/>
      <c r="N5" s="104"/>
      <c r="O5" s="104"/>
    </row>
    <row r="6" spans="2:15">
      <c r="B6" s="42" t="s">
        <v>331</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194</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195</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196</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197</v>
      </c>
      <c r="C10" s="36" t="s">
        <v>111</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198</v>
      </c>
      <c r="C11" s="36" t="s">
        <v>111</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332</v>
      </c>
      <c r="C13" s="1512">
        <v>25.4</v>
      </c>
      <c r="D13" s="1513"/>
      <c r="G13" s="104"/>
      <c r="H13" s="104"/>
      <c r="I13" s="120"/>
      <c r="J13" s="104"/>
      <c r="K13" s="104"/>
      <c r="L13" s="104"/>
      <c r="M13" s="104"/>
      <c r="N13" s="104"/>
      <c r="O13" s="104"/>
    </row>
    <row r="14" spans="2:15">
      <c r="B14" s="42" t="s">
        <v>333</v>
      </c>
      <c r="C14" s="1512">
        <v>1.2</v>
      </c>
      <c r="D14" s="1513"/>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25">
      <c r="B16" s="53"/>
      <c r="C16" s="52" t="s">
        <v>328</v>
      </c>
      <c r="D16" s="52" t="s">
        <v>714</v>
      </c>
      <c r="G16" s="133"/>
      <c r="H16" s="133"/>
      <c r="I16" s="134"/>
      <c r="J16" s="133"/>
      <c r="K16" s="133"/>
      <c r="L16" s="133"/>
      <c r="M16" s="133"/>
      <c r="N16" s="133"/>
      <c r="O16" s="133"/>
    </row>
    <row r="17" spans="2:15">
      <c r="B17" s="42" t="s">
        <v>334</v>
      </c>
      <c r="C17" s="1529">
        <f>C13/1000</f>
        <v>2.5399999999999999E-2</v>
      </c>
      <c r="D17" s="1530"/>
      <c r="G17" s="104"/>
      <c r="H17" s="104"/>
      <c r="I17" s="120"/>
      <c r="J17" s="104"/>
      <c r="K17" s="104"/>
      <c r="L17" s="104"/>
      <c r="M17" s="104"/>
      <c r="N17" s="104"/>
      <c r="O17" s="104"/>
    </row>
    <row r="18" spans="2:15">
      <c r="B18" s="42" t="s">
        <v>335</v>
      </c>
      <c r="C18" s="1529">
        <f>C14/1000</f>
        <v>1.1999999999999999E-3</v>
      </c>
      <c r="D18" s="1530"/>
      <c r="G18" s="104"/>
      <c r="H18" s="104"/>
      <c r="I18" s="120"/>
      <c r="J18" s="104"/>
      <c r="K18" s="104"/>
      <c r="L18" s="104"/>
      <c r="M18" s="135"/>
      <c r="N18" s="104"/>
      <c r="O18" s="104"/>
    </row>
    <row r="19" spans="2:15">
      <c r="B19" s="42" t="s">
        <v>336</v>
      </c>
      <c r="C19" s="35">
        <f>IF(C5="Round",((C17)^4-((C17-2*C18))^4)*3.142/64,((C17)^4-((C17-2*C18))^4)/12)</f>
        <v>6.6959174567999997E-9</v>
      </c>
      <c r="D19" s="18">
        <v>0</v>
      </c>
      <c r="G19" s="104"/>
      <c r="H19" s="104"/>
      <c r="I19" s="120"/>
      <c r="J19" s="104"/>
      <c r="K19" s="104"/>
      <c r="L19" s="120"/>
      <c r="M19" s="135"/>
      <c r="N19" s="104"/>
      <c r="O19" s="104"/>
    </row>
    <row r="20" spans="2:15">
      <c r="B20" s="42" t="s">
        <v>337</v>
      </c>
      <c r="C20" s="36">
        <f>C7*C19</f>
        <v>1339.1834913599998</v>
      </c>
      <c r="D20" s="36">
        <f>D7*D19</f>
        <v>0</v>
      </c>
      <c r="E20" s="40">
        <f t="shared" ref="E20:E27" si="0">100*D20/C20</f>
        <v>0</v>
      </c>
      <c r="G20" s="104"/>
      <c r="H20" s="104"/>
      <c r="I20" s="104"/>
      <c r="J20" s="104"/>
      <c r="K20" s="104"/>
      <c r="L20" s="104"/>
      <c r="M20" s="104"/>
      <c r="N20" s="104"/>
      <c r="O20" s="104"/>
    </row>
    <row r="21" spans="2:15">
      <c r="B21" s="42" t="s">
        <v>716</v>
      </c>
      <c r="C21" s="621">
        <f>IF(C5="Round",((C13^2-(C13-2*C14)^2)*PI()/4),IF(C5="Square",(C13^2-(C13-2*C14)^2)))</f>
        <v>91.231850660247574</v>
      </c>
      <c r="D21" s="54">
        <v>0</v>
      </c>
      <c r="E21" s="45" t="s">
        <v>358</v>
      </c>
      <c r="G21" s="104"/>
      <c r="H21" s="104"/>
      <c r="I21" s="104"/>
      <c r="J21" s="104"/>
      <c r="K21" s="104"/>
      <c r="L21" s="120"/>
      <c r="M21" s="104"/>
      <c r="N21" s="104"/>
      <c r="O21" s="104"/>
    </row>
    <row r="22" spans="2:15">
      <c r="B22" s="42" t="s">
        <v>717</v>
      </c>
      <c r="C22" s="622" t="s">
        <v>358</v>
      </c>
      <c r="D22" s="54">
        <v>0</v>
      </c>
      <c r="E22" s="45" t="s">
        <v>358</v>
      </c>
      <c r="G22" s="104"/>
      <c r="H22" s="104"/>
      <c r="I22" s="104"/>
      <c r="J22" s="104"/>
      <c r="K22" s="104"/>
      <c r="L22" s="120"/>
      <c r="M22" s="104"/>
      <c r="N22" s="104"/>
      <c r="O22" s="104"/>
    </row>
    <row r="23" spans="2:15">
      <c r="B23" s="42" t="s">
        <v>339</v>
      </c>
      <c r="C23" s="36">
        <f>C$21*C8/1000000</f>
        <v>27825.714451375512</v>
      </c>
      <c r="D23" s="36">
        <f>(D$21*D8+D10*$D$22)/1000000</f>
        <v>0</v>
      </c>
      <c r="E23" s="40">
        <f t="shared" si="0"/>
        <v>0</v>
      </c>
      <c r="G23" s="104"/>
      <c r="H23" s="104"/>
      <c r="I23" s="104"/>
      <c r="J23" s="104"/>
      <c r="K23" s="104"/>
      <c r="L23" s="120"/>
      <c r="M23" s="104"/>
      <c r="N23" s="104"/>
      <c r="O23" s="104"/>
    </row>
    <row r="24" spans="2:15">
      <c r="B24" s="42" t="s">
        <v>340</v>
      </c>
      <c r="C24" s="36">
        <f>C21*C9/1000000</f>
        <v>33299.625490990366</v>
      </c>
      <c r="D24" s="36">
        <f>(D$21*D9+D11*$D$22)/1000000</f>
        <v>0</v>
      </c>
      <c r="E24" s="40">
        <f t="shared" si="0"/>
        <v>0</v>
      </c>
      <c r="G24" s="104"/>
      <c r="H24" s="104"/>
      <c r="I24" s="104"/>
      <c r="J24" s="104"/>
      <c r="K24" s="104"/>
      <c r="L24" s="120"/>
      <c r="M24" s="104"/>
      <c r="N24" s="104"/>
      <c r="O24" s="104"/>
    </row>
    <row r="25" spans="2:15">
      <c r="B25" s="42" t="s">
        <v>343</v>
      </c>
      <c r="C25" s="36">
        <f>4*C9*(C19*2/(C17))/1</f>
        <v>769.76688873448825</v>
      </c>
      <c r="D25" s="36">
        <f>4*D9*(D19*2/(C17))/1</f>
        <v>0</v>
      </c>
      <c r="E25" s="40">
        <f t="shared" si="0"/>
        <v>0</v>
      </c>
      <c r="G25" s="104"/>
      <c r="H25" s="104"/>
      <c r="I25" s="104"/>
      <c r="J25" s="104"/>
      <c r="K25" s="104"/>
      <c r="L25" s="104"/>
      <c r="M25" s="104"/>
      <c r="N25" s="104"/>
      <c r="O25" s="104"/>
    </row>
    <row r="26" spans="2:15">
      <c r="B26" s="42" t="s">
        <v>344</v>
      </c>
      <c r="C26" s="36">
        <f>C25*1^3/(48*C7*C19)</f>
        <v>1.1975065616797903E-2</v>
      </c>
      <c r="D26" s="36">
        <f>IF(D19&gt;0,C25*1^3/(48*D7*D19),0)</f>
        <v>0</v>
      </c>
      <c r="E26" s="40">
        <f>IF(D26=0,999,100*D26/C26)</f>
        <v>999</v>
      </c>
      <c r="G26" s="104"/>
      <c r="H26" s="104"/>
      <c r="I26" s="104"/>
      <c r="J26" s="104"/>
      <c r="K26" s="104"/>
      <c r="L26" s="104"/>
      <c r="M26" s="104"/>
      <c r="N26" s="104"/>
      <c r="O26" s="104"/>
    </row>
    <row r="27" spans="2:15">
      <c r="B27" s="42" t="s">
        <v>345</v>
      </c>
      <c r="C27" s="36">
        <f>0.5*C25*(C25*1^3/(48*C7*C19))</f>
        <v>4.6090045011169334</v>
      </c>
      <c r="D27" s="36">
        <f>IF(D19&gt;0,0.5*D25*(D25*1^3/(48*D7*D19)),0)</f>
        <v>0</v>
      </c>
      <c r="E27" s="40">
        <f t="shared" si="0"/>
        <v>0</v>
      </c>
      <c r="G27" s="104"/>
      <c r="H27" s="104"/>
      <c r="I27" s="104"/>
      <c r="J27" s="104"/>
      <c r="K27" s="104"/>
      <c r="L27" s="104"/>
      <c r="M27" s="104"/>
      <c r="N27" s="104"/>
      <c r="O27" s="104"/>
    </row>
    <row r="28" spans="2:15" ht="13.15">
      <c r="B28" s="3" t="s">
        <v>718</v>
      </c>
      <c r="G28" s="104"/>
      <c r="H28" s="104"/>
      <c r="I28" s="104"/>
      <c r="J28" s="104"/>
      <c r="K28" s="104"/>
      <c r="L28" s="104"/>
      <c r="M28" s="104"/>
      <c r="N28" s="104"/>
      <c r="O28" s="104"/>
    </row>
    <row r="29" spans="2:15" ht="13.15">
      <c r="B29" s="3" t="s">
        <v>719</v>
      </c>
      <c r="D29" s="43"/>
      <c r="G29" s="104"/>
      <c r="H29" s="224" t="s">
        <v>219</v>
      </c>
      <c r="I29" s="224"/>
      <c r="J29" s="104"/>
      <c r="K29" s="104"/>
      <c r="L29" s="104"/>
      <c r="M29" s="104"/>
      <c r="N29" s="104"/>
      <c r="O29" s="104"/>
    </row>
    <row r="30" spans="2:15" ht="13.15">
      <c r="B30" s="121" t="s">
        <v>720</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CEzCQXPAbUfojx4dOmsWcs2ukR4lIyhb7brIPhj20v4+AoT41kCd4eWxnUthMmyADvB4ahYOKGjVjBkpIc1V6A==" saltValue="iGWVIjGnQ727gwBctzA1Fw==" spinCount="100000" sheet="1" scenarios="1" insertHyperlinks="0"/>
  <protectedRanges>
    <protectedRange sqref="C4:C5 C13:D14 D19 D21:D22 B31:I162" name="Range1"/>
  </protectedRanges>
  <mergeCells count="4">
    <mergeCell ref="C13:D13"/>
    <mergeCell ref="C14:D14"/>
    <mergeCell ref="C17:D17"/>
    <mergeCell ref="C18:D18"/>
  </mergeCells>
  <phoneticPr fontId="2" type="noConversion"/>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heetViews>
  <sheetFormatPr baseColWidth="10" defaultColWidth="11.46484375" defaultRowHeight="12.75"/>
  <cols>
    <col min="1" max="1" width="5.1328125" customWidth="1"/>
    <col min="2" max="2" width="46.1328125" customWidth="1"/>
    <col min="3" max="3" width="11.46484375" customWidth="1"/>
    <col min="4" max="4" width="10.53125" customWidth="1"/>
    <col min="5" max="5" width="5.86328125" customWidth="1"/>
    <col min="6" max="6" width="10" customWidth="1"/>
    <col min="7" max="8" width="12.46484375" bestFit="1" customWidth="1"/>
    <col min="9" max="9" width="11.46484375" customWidth="1"/>
    <col min="10" max="10" width="5.1328125" customWidth="1"/>
    <col min="11" max="15" width="11.46484375" customWidth="1"/>
  </cols>
  <sheetData>
    <row r="1" spans="2:15" ht="15">
      <c r="B1" s="1" t="s">
        <v>721</v>
      </c>
      <c r="G1" s="104"/>
      <c r="H1" s="104"/>
      <c r="I1" s="104"/>
      <c r="J1" s="104"/>
      <c r="K1" s="104"/>
      <c r="L1" s="104"/>
      <c r="M1" s="104"/>
      <c r="N1" s="104"/>
      <c r="O1" s="104"/>
    </row>
    <row r="2" spans="2:15" ht="13.15">
      <c r="B2" s="3"/>
      <c r="G2" s="104"/>
      <c r="H2" s="104"/>
      <c r="I2" s="104"/>
      <c r="J2" s="104"/>
      <c r="K2" s="104"/>
      <c r="L2" s="104"/>
      <c r="M2" s="104"/>
      <c r="N2" s="104"/>
      <c r="O2" s="104"/>
    </row>
    <row r="3" spans="2:15" s="6" customFormat="1" ht="26.25">
      <c r="B3" s="52" t="s">
        <v>326</v>
      </c>
      <c r="C3" s="52" t="s">
        <v>328</v>
      </c>
      <c r="D3" s="52" t="s">
        <v>722</v>
      </c>
      <c r="G3" s="133"/>
      <c r="H3" s="133"/>
      <c r="I3" s="133"/>
      <c r="J3" s="133"/>
      <c r="K3" s="133"/>
      <c r="L3" s="133"/>
      <c r="M3" s="133"/>
      <c r="N3" s="133"/>
      <c r="O3" s="133"/>
    </row>
    <row r="4" spans="2:15">
      <c r="B4" s="362" t="s">
        <v>329</v>
      </c>
      <c r="C4" s="17" t="s">
        <v>175</v>
      </c>
      <c r="D4" s="35" t="str">
        <f>C4</f>
        <v>Steel</v>
      </c>
      <c r="G4" s="104"/>
      <c r="H4" s="104"/>
      <c r="I4" s="104"/>
      <c r="J4" s="104"/>
      <c r="K4" s="104"/>
      <c r="L4" s="104"/>
      <c r="M4" s="104"/>
      <c r="N4" s="104"/>
      <c r="O4" s="104"/>
    </row>
    <row r="5" spans="2:15">
      <c r="B5" s="362" t="s">
        <v>715</v>
      </c>
      <c r="C5" s="17" t="s">
        <v>214</v>
      </c>
      <c r="D5" s="589" t="s">
        <v>111</v>
      </c>
      <c r="G5" s="104"/>
      <c r="H5" s="104"/>
      <c r="I5" s="104"/>
      <c r="J5" s="104"/>
      <c r="K5" s="104"/>
      <c r="L5" s="104"/>
      <c r="M5" s="104"/>
      <c r="N5" s="104"/>
      <c r="O5" s="104"/>
    </row>
    <row r="6" spans="2:15">
      <c r="B6" s="42" t="s">
        <v>331</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194</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195</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196</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197</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198</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62" t="s">
        <v>723</v>
      </c>
      <c r="C13" s="1512">
        <v>25.4</v>
      </c>
      <c r="D13" s="1513"/>
      <c r="G13" s="104"/>
      <c r="H13" s="104"/>
      <c r="I13" s="120"/>
      <c r="J13" s="104"/>
      <c r="K13" s="104"/>
      <c r="L13" s="104"/>
      <c r="M13" s="104"/>
      <c r="N13" s="104"/>
      <c r="O13" s="104"/>
    </row>
    <row r="14" spans="2:15">
      <c r="B14" s="362" t="s">
        <v>724</v>
      </c>
      <c r="C14" s="1512">
        <v>1.2</v>
      </c>
      <c r="D14" s="1513"/>
      <c r="G14" s="104"/>
      <c r="H14" s="104"/>
      <c r="I14" s="120"/>
      <c r="J14" s="104"/>
      <c r="K14" s="104"/>
      <c r="L14" s="104"/>
      <c r="M14" s="104"/>
      <c r="N14" s="104"/>
      <c r="O14" s="104"/>
    </row>
    <row r="15" spans="2:15">
      <c r="B15" s="362" t="s">
        <v>725</v>
      </c>
      <c r="C15" s="1531">
        <v>35</v>
      </c>
      <c r="D15" s="1531"/>
      <c r="G15" s="104"/>
      <c r="H15" s="104"/>
      <c r="I15" s="120"/>
      <c r="J15" s="104"/>
      <c r="K15" s="104"/>
      <c r="L15" s="104"/>
      <c r="M15" s="104"/>
      <c r="N15" s="104"/>
      <c r="O15" s="104"/>
    </row>
    <row r="16" spans="2:15">
      <c r="B16" s="362" t="s">
        <v>726</v>
      </c>
      <c r="C16" s="1531">
        <v>5</v>
      </c>
      <c r="D16" s="1531"/>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25">
      <c r="B18" s="53"/>
      <c r="C18" s="52" t="s">
        <v>328</v>
      </c>
      <c r="D18" s="52" t="s">
        <v>722</v>
      </c>
      <c r="G18" s="133"/>
      <c r="H18" s="133"/>
      <c r="I18" s="134"/>
      <c r="J18" s="133"/>
      <c r="K18" s="133"/>
      <c r="L18" s="133"/>
      <c r="M18" s="133"/>
      <c r="N18" s="133"/>
      <c r="O18" s="133"/>
    </row>
    <row r="19" spans="2:15">
      <c r="B19" s="42" t="s">
        <v>727</v>
      </c>
      <c r="C19" s="35">
        <f>C13/2000</f>
        <v>1.2699999999999999E-2</v>
      </c>
      <c r="D19" s="207">
        <f>C15/2000</f>
        <v>1.7500000000000002E-2</v>
      </c>
      <c r="G19" s="104"/>
      <c r="H19" s="104"/>
      <c r="I19" s="120"/>
      <c r="J19" s="104"/>
      <c r="K19" s="104"/>
      <c r="L19" s="104"/>
      <c r="M19" s="104"/>
      <c r="N19" s="104"/>
      <c r="O19" s="104"/>
    </row>
    <row r="20" spans="2:15">
      <c r="B20" s="42" t="s">
        <v>728</v>
      </c>
      <c r="C20" s="35">
        <f>C19-C14/1000</f>
        <v>1.15E-2</v>
      </c>
      <c r="D20" s="207">
        <f>D19-C16/1000</f>
        <v>1.2500000000000001E-2</v>
      </c>
      <c r="G20" s="104"/>
      <c r="H20" s="104"/>
      <c r="I20" s="120"/>
      <c r="J20" s="104"/>
      <c r="K20" s="104"/>
      <c r="L20" s="104"/>
      <c r="M20" s="135"/>
      <c r="N20" s="104"/>
      <c r="O20" s="104"/>
    </row>
    <row r="21" spans="2:15">
      <c r="B21" s="42" t="s">
        <v>729</v>
      </c>
      <c r="C21" s="208">
        <f>PI()*(C19^2-C20^2)</f>
        <v>9.1231850660247613E-5</v>
      </c>
      <c r="D21" s="211">
        <f>0.5*PI()*(D19^2-D20^2)</f>
        <v>2.3561944901923451E-4</v>
      </c>
      <c r="G21" s="104"/>
      <c r="H21" s="104"/>
      <c r="I21" s="120"/>
      <c r="J21" s="104"/>
      <c r="K21" s="104"/>
      <c r="L21" s="104"/>
      <c r="M21" s="135"/>
      <c r="N21" s="104"/>
      <c r="O21" s="104"/>
    </row>
    <row r="22" spans="2:15">
      <c r="B22" s="362" t="s">
        <v>730</v>
      </c>
      <c r="C22" s="169" t="s">
        <v>111</v>
      </c>
      <c r="D22" s="623">
        <f>(4*(D19^3-D20^3))/(3*PI()*(D19^2-D20^2))</f>
        <v>9.6377159983425525E-3</v>
      </c>
      <c r="E22" s="164"/>
      <c r="F22" s="209"/>
      <c r="G22" s="210"/>
      <c r="H22" s="120"/>
      <c r="I22" s="104"/>
      <c r="J22" s="104"/>
      <c r="K22" s="104"/>
      <c r="L22" s="104"/>
      <c r="M22" s="104"/>
      <c r="N22" s="104"/>
      <c r="O22" s="104"/>
    </row>
    <row r="23" spans="2:15">
      <c r="B23" s="42" t="s">
        <v>336</v>
      </c>
      <c r="C23" s="208">
        <f>IF(C5="Round",(C19^4-C20^4)*PI()/4,((2*C19)^4-(2*C20)^4)/12)</f>
        <v>6.6950493607022693E-9</v>
      </c>
      <c r="D23" s="204">
        <f>PI()/8*(D19^4-D20^4)-(D21*D22^2)</f>
        <v>5.3578520466127722E-9</v>
      </c>
      <c r="E23" s="43"/>
      <c r="F23" s="209"/>
      <c r="G23" s="210"/>
      <c r="H23" s="624"/>
      <c r="I23" s="120"/>
      <c r="J23" s="104"/>
      <c r="K23" s="104"/>
      <c r="L23" s="120"/>
      <c r="M23" s="135"/>
      <c r="N23" s="104"/>
      <c r="O23" s="104"/>
    </row>
    <row r="24" spans="2:15">
      <c r="B24" s="42" t="s">
        <v>337</v>
      </c>
      <c r="C24" s="36">
        <f>C7*C23</f>
        <v>1339.0098721404538</v>
      </c>
      <c r="D24" s="625" t="s">
        <v>111</v>
      </c>
      <c r="E24" s="164"/>
      <c r="F24" s="209"/>
      <c r="G24" s="210"/>
      <c r="H24" s="624"/>
      <c r="I24" s="120"/>
      <c r="J24" s="104"/>
      <c r="K24" s="104"/>
      <c r="L24" s="104"/>
      <c r="M24" s="104"/>
      <c r="N24" s="104"/>
      <c r="O24" s="104"/>
    </row>
    <row r="25" spans="2:15">
      <c r="B25" s="362" t="s">
        <v>731</v>
      </c>
      <c r="C25" s="36">
        <f>120000/6</f>
        <v>20000</v>
      </c>
      <c r="D25" s="625" t="s">
        <v>111</v>
      </c>
      <c r="E25" s="164"/>
      <c r="G25" s="135"/>
      <c r="H25" s="104"/>
      <c r="I25" s="104"/>
      <c r="J25" s="104"/>
      <c r="K25" s="104"/>
      <c r="L25" s="104"/>
      <c r="M25" s="104"/>
      <c r="N25" s="104"/>
      <c r="O25" s="104"/>
    </row>
    <row r="26" spans="2:15">
      <c r="B26" s="362" t="s">
        <v>732</v>
      </c>
      <c r="C26" s="36">
        <f>C11</f>
        <v>300000000</v>
      </c>
      <c r="D26" s="625">
        <f>(C25*0.5*D19*(D19-D22))/D23</f>
        <v>256800614.93297413</v>
      </c>
      <c r="E26" s="40">
        <f>100*C26/D26</f>
        <v>116.82215016436042</v>
      </c>
      <c r="G26" s="120"/>
      <c r="H26" s="624"/>
      <c r="I26" s="120"/>
      <c r="J26" s="104"/>
      <c r="K26" s="104"/>
      <c r="L26" s="104"/>
      <c r="M26" s="104"/>
      <c r="N26" s="104"/>
      <c r="O26" s="104"/>
    </row>
    <row r="27" spans="2:15" ht="13.15">
      <c r="B27" s="3" t="s">
        <v>718</v>
      </c>
      <c r="G27" s="104"/>
      <c r="H27" s="224" t="s">
        <v>219</v>
      </c>
      <c r="I27" s="224"/>
      <c r="J27" s="104"/>
      <c r="K27" s="104"/>
      <c r="L27" s="104"/>
      <c r="M27" s="104"/>
      <c r="N27" s="104"/>
      <c r="O27" s="104"/>
    </row>
    <row r="28" spans="2:15" ht="13.15">
      <c r="B28" s="3" t="s">
        <v>733</v>
      </c>
      <c r="D28" s="43"/>
      <c r="G28" s="104"/>
      <c r="H28" s="104"/>
      <c r="I28" s="104"/>
      <c r="J28" s="104"/>
      <c r="K28" s="104"/>
      <c r="L28" s="104"/>
      <c r="M28" s="104"/>
      <c r="N28" s="104"/>
      <c r="O28" s="104"/>
    </row>
    <row r="29" spans="2:15" ht="13.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rC77QGlySbWQCRHGW9Wi/oi+M5iQlsq+aBwxNf5ZR+hVA0h51Yl/Kr+mjGwaPYluuzlZqH88uKhD3/GZ0rs4tQ==" saltValue="TNTq2/gzP2I0sM1HdHkReQ==" spinCount="100000" sheet="1" scenarios="1" insertHyperlinks="0"/>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98" zoomScaleNormal="100" zoomScaleSheetLayoutView="98" workbookViewId="0">
      <selection sqref="A1:S1"/>
    </sheetView>
  </sheetViews>
  <sheetFormatPr baseColWidth="10" defaultColWidth="11.46484375" defaultRowHeight="12.75"/>
  <cols>
    <col min="1" max="3" width="5" customWidth="1"/>
    <col min="4" max="4" width="6.6640625" customWidth="1"/>
    <col min="5" max="38" width="5" customWidth="1"/>
  </cols>
  <sheetData>
    <row r="1" spans="1:38" ht="13.15">
      <c r="A1" s="1087" t="s">
        <v>734</v>
      </c>
      <c r="B1" s="1087"/>
      <c r="C1" s="1087"/>
      <c r="D1" s="1087"/>
      <c r="E1" s="1087"/>
      <c r="F1" s="1087"/>
      <c r="G1" s="1087"/>
      <c r="H1" s="1087"/>
      <c r="I1" s="1087"/>
      <c r="J1" s="1087"/>
      <c r="K1" s="1087"/>
      <c r="L1" s="1087"/>
      <c r="M1" s="1087"/>
      <c r="N1" s="1087"/>
      <c r="O1" s="1087"/>
      <c r="P1" s="1087"/>
      <c r="Q1" s="1087"/>
      <c r="R1" s="1087"/>
      <c r="S1" s="1087"/>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39</v>
      </c>
      <c r="D3" s="1157" t="str">
        <f>IF('Cover Sheet'!D14:J14&gt;0,'Cover Sheet'!D14:J14,"")</f>
        <v>Ecole Centrale Lyon</v>
      </c>
      <c r="E3" s="1157"/>
      <c r="F3" s="1157"/>
      <c r="G3" s="1157"/>
      <c r="H3" s="1157"/>
      <c r="I3" s="1157"/>
      <c r="J3" s="1157"/>
      <c r="K3" t="s">
        <v>40</v>
      </c>
      <c r="O3" s="1157" t="str">
        <f>IF('Cover Sheet'!O14:S14&gt;0,'Cover Sheet'!O14:S14,"")</f>
        <v>81 FSCH</v>
      </c>
      <c r="P3" s="1157"/>
      <c r="Q3" s="1157"/>
      <c r="R3" s="1157"/>
      <c r="S3" s="115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532" t="s">
        <v>735</v>
      </c>
      <c r="B5" s="1533"/>
      <c r="C5" s="1533"/>
      <c r="D5" s="1533"/>
      <c r="E5" s="1533"/>
      <c r="F5" s="1533"/>
      <c r="G5" s="1533"/>
      <c r="H5" s="1533"/>
      <c r="I5" s="1533"/>
      <c r="J5" s="1533"/>
      <c r="K5" s="1533"/>
      <c r="L5" s="1533"/>
      <c r="M5" s="1533"/>
      <c r="N5" s="1533"/>
      <c r="O5" s="1533"/>
      <c r="P5" s="1533"/>
      <c r="Q5" s="1533"/>
      <c r="R5" s="1533"/>
      <c r="S5" s="1533"/>
      <c r="T5" s="25"/>
      <c r="U5" s="26"/>
      <c r="V5" s="26"/>
      <c r="W5" s="26"/>
      <c r="X5" s="26"/>
      <c r="Y5" s="26"/>
      <c r="Z5" s="26"/>
      <c r="AA5" s="26"/>
      <c r="AB5" s="26"/>
      <c r="AC5" s="26"/>
      <c r="AD5" s="26"/>
      <c r="AE5" s="26"/>
      <c r="AF5" s="26"/>
      <c r="AG5" s="26"/>
      <c r="AH5" s="26"/>
      <c r="AI5" s="26"/>
      <c r="AJ5" s="26"/>
      <c r="AK5" s="26"/>
      <c r="AL5" s="27"/>
    </row>
    <row r="6" spans="1:38">
      <c r="A6" s="1534"/>
      <c r="B6" s="1535"/>
      <c r="C6" s="1535"/>
      <c r="D6" s="1535"/>
      <c r="E6" s="1535"/>
      <c r="F6" s="1535"/>
      <c r="G6" s="1535"/>
      <c r="H6" s="1535"/>
      <c r="I6" s="1535"/>
      <c r="J6" s="1535"/>
      <c r="K6" s="1535"/>
      <c r="L6" s="1535"/>
      <c r="M6" s="1535"/>
      <c r="N6" s="1535"/>
      <c r="O6" s="1535"/>
      <c r="P6" s="1535"/>
      <c r="Q6" s="1535"/>
      <c r="R6" s="1535"/>
      <c r="S6" s="1535"/>
      <c r="T6" s="25"/>
      <c r="U6" s="26"/>
      <c r="V6" s="26"/>
      <c r="W6" s="26"/>
      <c r="X6" s="26"/>
      <c r="Y6" s="26"/>
      <c r="Z6" s="26"/>
      <c r="AA6" s="26"/>
      <c r="AB6" s="26"/>
      <c r="AC6" s="26"/>
      <c r="AD6" s="26"/>
      <c r="AE6" s="26"/>
      <c r="AF6" s="26"/>
      <c r="AG6" s="26"/>
      <c r="AH6" s="26"/>
      <c r="AI6" s="26"/>
      <c r="AJ6" s="26"/>
      <c r="AK6" s="26"/>
      <c r="AL6" s="27"/>
    </row>
    <row r="7" spans="1:38">
      <c r="A7" s="355" t="s">
        <v>219</v>
      </c>
      <c r="B7" s="356"/>
      <c r="C7" s="356"/>
      <c r="D7" s="35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58"/>
      <c r="B8" s="359"/>
      <c r="C8" s="359"/>
      <c r="D8" s="35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58"/>
      <c r="B9" s="359"/>
      <c r="C9" s="359"/>
      <c r="D9" s="35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26"/>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BnD6WRMjzjWL/4mX0d5EQT8ugYmS2fs6CC1pFYFr/RFmxAW4hKoGH6kE0mvnAWBD5XzQ0BAuKMXVutNJ8LBfwg==" saltValue="ef0RUXnxi+XusYW69vI7vg==" spinCount="100000" sheet="1" scenarios="1" insertHyperlinks="0"/>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Normal="100" zoomScaleSheetLayoutView="100" workbookViewId="0">
      <selection sqref="A1:S1"/>
    </sheetView>
  </sheetViews>
  <sheetFormatPr baseColWidth="10" defaultColWidth="11.46484375" defaultRowHeight="12.75"/>
  <cols>
    <col min="1" max="3" width="5" customWidth="1"/>
    <col min="4" max="4" width="6.6640625" customWidth="1"/>
    <col min="5" max="38" width="5" customWidth="1"/>
  </cols>
  <sheetData>
    <row r="1" spans="1:38" ht="13.15">
      <c r="A1" s="1087" t="s">
        <v>734</v>
      </c>
      <c r="B1" s="1087"/>
      <c r="C1" s="1087"/>
      <c r="D1" s="1087"/>
      <c r="E1" s="1087"/>
      <c r="F1" s="1087"/>
      <c r="G1" s="1087"/>
      <c r="H1" s="1087"/>
      <c r="I1" s="1087"/>
      <c r="J1" s="1087"/>
      <c r="K1" s="1087"/>
      <c r="L1" s="1087"/>
      <c r="M1" s="1087"/>
      <c r="N1" s="1087"/>
      <c r="O1" s="1087"/>
      <c r="P1" s="1087"/>
      <c r="Q1" s="1087"/>
      <c r="R1" s="1087"/>
      <c r="S1" s="1087"/>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39</v>
      </c>
      <c r="D3" s="1157" t="str">
        <f>IF('Cover Sheet'!D14:J14&gt;0,'Cover Sheet'!D14:J14,"")</f>
        <v>Ecole Centrale Lyon</v>
      </c>
      <c r="E3" s="1157"/>
      <c r="F3" s="1157"/>
      <c r="G3" s="1157"/>
      <c r="H3" s="1157"/>
      <c r="I3" s="1157"/>
      <c r="J3" s="1157"/>
      <c r="K3" t="s">
        <v>40</v>
      </c>
      <c r="O3" s="1157" t="str">
        <f>IF('Cover Sheet'!O14:S14&gt;0,'Cover Sheet'!O14:S14,"")</f>
        <v>81 FSCH</v>
      </c>
      <c r="P3" s="1157"/>
      <c r="Q3" s="1157"/>
      <c r="R3" s="1157"/>
      <c r="S3" s="115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536" t="s">
        <v>736</v>
      </c>
      <c r="B5" s="1537"/>
      <c r="C5" s="1537"/>
      <c r="D5" s="1537"/>
      <c r="E5" s="1537"/>
      <c r="F5" s="1537"/>
      <c r="G5" s="1537"/>
      <c r="H5" s="1537"/>
      <c r="I5" s="1537"/>
      <c r="J5" s="1537"/>
      <c r="K5" s="1537"/>
      <c r="L5" s="1537"/>
      <c r="M5" s="1537"/>
      <c r="N5" s="1537"/>
      <c r="O5" s="1537"/>
      <c r="P5" s="1537"/>
      <c r="Q5" s="1537"/>
      <c r="R5" s="1537"/>
      <c r="S5" s="1537"/>
      <c r="T5" s="25"/>
      <c r="U5" s="26"/>
      <c r="V5" s="26"/>
      <c r="W5" s="26"/>
      <c r="X5" s="26"/>
      <c r="Y5" s="26"/>
      <c r="Z5" s="26"/>
      <c r="AA5" s="26"/>
      <c r="AB5" s="26"/>
      <c r="AC5" s="26"/>
      <c r="AD5" s="26"/>
      <c r="AE5" s="26"/>
      <c r="AF5" s="26"/>
      <c r="AG5" s="26"/>
      <c r="AH5" s="26"/>
      <c r="AI5" s="26"/>
      <c r="AJ5" s="26"/>
      <c r="AK5" s="26"/>
      <c r="AL5" s="27"/>
    </row>
    <row r="6" spans="1:38">
      <c r="A6" s="1538"/>
      <c r="B6" s="1539"/>
      <c r="C6" s="1539"/>
      <c r="D6" s="1539"/>
      <c r="E6" s="1539"/>
      <c r="F6" s="1539"/>
      <c r="G6" s="1539"/>
      <c r="H6" s="1539"/>
      <c r="I6" s="1539"/>
      <c r="J6" s="1539"/>
      <c r="K6" s="1539"/>
      <c r="L6" s="1539"/>
      <c r="M6" s="1539"/>
      <c r="N6" s="1539"/>
      <c r="O6" s="1539"/>
      <c r="P6" s="1539"/>
      <c r="Q6" s="1539"/>
      <c r="R6" s="1539"/>
      <c r="S6" s="1539"/>
      <c r="T6" s="25"/>
      <c r="U6" s="26"/>
      <c r="V6" s="26"/>
      <c r="W6" s="26"/>
      <c r="X6" s="26"/>
      <c r="Y6" s="26"/>
      <c r="Z6" s="26"/>
      <c r="AA6" s="26"/>
      <c r="AB6" s="26"/>
      <c r="AC6" s="26"/>
      <c r="AD6" s="26"/>
      <c r="AE6" s="26"/>
      <c r="AF6" s="26"/>
      <c r="AG6" s="26"/>
      <c r="AH6" s="26"/>
      <c r="AI6" s="26"/>
      <c r="AJ6" s="26"/>
      <c r="AK6" s="26"/>
      <c r="AL6" s="27"/>
    </row>
    <row r="7" spans="1:38">
      <c r="A7" s="355" t="s">
        <v>219</v>
      </c>
      <c r="B7" s="356"/>
      <c r="C7" s="356"/>
      <c r="D7" s="356"/>
      <c r="E7" s="35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58"/>
      <c r="B8" s="359"/>
      <c r="C8" s="359"/>
      <c r="D8" s="359"/>
      <c r="E8" s="35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58"/>
      <c r="B9" s="359"/>
      <c r="C9" s="359"/>
      <c r="D9" s="359"/>
      <c r="E9" s="35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26"/>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e3clwa4vPdXdy+KoouQGJWQMKZ1XS0/1D55yx37811IMt8Jf6YWHvs04Vjo7myr0RDh8Uy3qrwdf0F1UDR8GJQ==" saltValue="BXAcGsiXTC7EpiAmhGvb4A==" spinCount="100000" sheet="1" scenarios="1" insertHyperlinks="0"/>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23C5-CC65-48D6-99B1-505140D971AB}">
  <sheetPr codeName="Tabelle5"/>
  <dimension ref="A1:AL73"/>
  <sheetViews>
    <sheetView showGridLines="0" view="pageBreakPreview" zoomScaleNormal="100" zoomScaleSheetLayoutView="100" workbookViewId="0">
      <selection sqref="A1:S1"/>
    </sheetView>
  </sheetViews>
  <sheetFormatPr baseColWidth="10" defaultColWidth="11.46484375" defaultRowHeight="12.75"/>
  <cols>
    <col min="1" max="21" width="5" style="514" customWidth="1"/>
    <col min="22" max="22" width="6.33203125" style="514" customWidth="1"/>
    <col min="23" max="38" width="5" style="514" customWidth="1"/>
    <col min="39" max="16384" width="11.46484375" style="514"/>
  </cols>
  <sheetData>
    <row r="1" spans="1:38" ht="13.15">
      <c r="A1" s="1194" t="s">
        <v>737</v>
      </c>
      <c r="B1" s="1195"/>
      <c r="C1" s="1195"/>
      <c r="D1" s="1195"/>
      <c r="E1" s="1195"/>
      <c r="F1" s="1195"/>
      <c r="G1" s="1195"/>
      <c r="H1" s="1195"/>
      <c r="I1" s="1195"/>
      <c r="J1" s="1195"/>
      <c r="K1" s="1195"/>
      <c r="L1" s="1195"/>
      <c r="M1" s="1195"/>
      <c r="N1" s="1195"/>
      <c r="O1" s="1195"/>
      <c r="P1" s="1195"/>
      <c r="Q1" s="1195"/>
      <c r="R1" s="1195"/>
      <c r="S1" s="1196"/>
      <c r="T1" s="620"/>
      <c r="U1" s="573"/>
      <c r="V1" s="573"/>
      <c r="W1" s="573"/>
      <c r="X1" s="573"/>
      <c r="Y1" s="573"/>
      <c r="Z1" s="573"/>
      <c r="AA1" s="573"/>
      <c r="AB1" s="573"/>
      <c r="AC1" s="573"/>
      <c r="AD1" s="573"/>
      <c r="AE1" s="573"/>
      <c r="AF1" s="573"/>
      <c r="AG1" s="573"/>
      <c r="AH1" s="573"/>
      <c r="AI1" s="573"/>
      <c r="AJ1" s="573"/>
      <c r="AK1" s="573"/>
      <c r="AL1" s="574"/>
    </row>
    <row r="2" spans="1:38">
      <c r="A2" s="614"/>
      <c r="B2" s="789"/>
      <c r="C2" s="789"/>
      <c r="D2" s="789"/>
      <c r="E2" s="789"/>
      <c r="F2" s="789"/>
      <c r="G2" s="789"/>
      <c r="H2" s="789"/>
      <c r="I2" s="789"/>
      <c r="J2" s="789"/>
      <c r="K2" s="789"/>
      <c r="L2" s="789"/>
      <c r="M2" s="789"/>
      <c r="N2" s="789"/>
      <c r="O2" s="789"/>
      <c r="P2" s="789"/>
      <c r="Q2" s="789"/>
      <c r="R2" s="789"/>
      <c r="S2" s="790"/>
      <c r="T2" s="368"/>
      <c r="AL2" s="786"/>
    </row>
    <row r="3" spans="1:38">
      <c r="A3" s="615"/>
      <c r="B3" s="512" t="s">
        <v>738</v>
      </c>
      <c r="C3" s="512"/>
      <c r="D3" s="512"/>
      <c r="E3" s="512"/>
      <c r="F3" s="512"/>
      <c r="G3" s="512"/>
      <c r="H3" s="512"/>
      <c r="I3" s="512"/>
      <c r="J3" s="512"/>
      <c r="K3" s="512"/>
      <c r="L3" s="512"/>
      <c r="M3" s="512"/>
      <c r="N3" s="512"/>
      <c r="O3" s="512"/>
      <c r="P3" s="512"/>
      <c r="R3" s="1004" t="s">
        <v>739</v>
      </c>
      <c r="S3" s="791"/>
      <c r="T3" s="368"/>
      <c r="AL3" s="786"/>
    </row>
    <row r="4" spans="1:38">
      <c r="A4" s="615"/>
      <c r="B4" s="514" t="s">
        <v>740</v>
      </c>
      <c r="C4" s="512"/>
      <c r="D4" s="512"/>
      <c r="E4" s="512"/>
      <c r="F4" s="512"/>
      <c r="G4" s="512"/>
      <c r="H4" s="512"/>
      <c r="I4" s="512"/>
      <c r="J4" s="512"/>
      <c r="K4" s="512"/>
      <c r="L4" s="512"/>
      <c r="M4" s="512"/>
      <c r="N4" s="512"/>
      <c r="O4" s="512"/>
      <c r="P4" s="512"/>
      <c r="Q4" s="512"/>
      <c r="R4" s="512"/>
      <c r="S4" s="791"/>
      <c r="T4" s="368"/>
      <c r="AL4" s="786"/>
    </row>
    <row r="5" spans="1:38">
      <c r="A5" s="615"/>
      <c r="C5" s="512"/>
      <c r="D5" s="512"/>
      <c r="E5" s="512"/>
      <c r="F5" s="512"/>
      <c r="G5" s="512"/>
      <c r="H5" s="512"/>
      <c r="I5" s="512"/>
      <c r="J5" s="512"/>
      <c r="K5" s="512"/>
      <c r="L5" s="512"/>
      <c r="M5" s="512"/>
      <c r="N5" s="512"/>
      <c r="O5" s="512"/>
      <c r="P5" s="512"/>
      <c r="Q5" s="512"/>
      <c r="R5" s="512"/>
      <c r="S5" s="791"/>
      <c r="T5" s="368"/>
      <c r="AL5" s="786"/>
    </row>
    <row r="6" spans="1:38">
      <c r="A6" s="615"/>
      <c r="B6" s="512" t="s">
        <v>741</v>
      </c>
      <c r="C6" s="512"/>
      <c r="D6" s="512"/>
      <c r="E6" s="512"/>
      <c r="F6" s="512"/>
      <c r="G6" s="512"/>
      <c r="H6" s="512"/>
      <c r="I6" s="512"/>
      <c r="J6" s="512"/>
      <c r="K6" s="512"/>
      <c r="L6" s="512"/>
      <c r="M6" s="512"/>
      <c r="N6" s="512"/>
      <c r="O6" s="512"/>
      <c r="P6" s="512"/>
      <c r="Q6" s="512"/>
      <c r="R6" s="512"/>
      <c r="S6" s="791"/>
      <c r="T6" s="368"/>
      <c r="AL6" s="786"/>
    </row>
    <row r="7" spans="1:38">
      <c r="A7" s="615"/>
      <c r="B7" s="514" t="s">
        <v>742</v>
      </c>
      <c r="C7" s="512"/>
      <c r="D7" s="512"/>
      <c r="E7" s="512"/>
      <c r="F7" s="512"/>
      <c r="G7" s="512"/>
      <c r="H7" s="512"/>
      <c r="I7" s="512"/>
      <c r="J7" s="512"/>
      <c r="K7" s="512"/>
      <c r="L7" s="512"/>
      <c r="M7" s="512"/>
      <c r="N7" s="512"/>
      <c r="O7" s="512"/>
      <c r="P7" s="512"/>
      <c r="Q7" s="512"/>
      <c r="R7" s="512"/>
      <c r="S7" s="791"/>
      <c r="T7" s="368"/>
      <c r="AL7" s="786"/>
    </row>
    <row r="8" spans="1:38">
      <c r="A8" s="615"/>
      <c r="B8" s="514" t="s">
        <v>743</v>
      </c>
      <c r="C8" s="512"/>
      <c r="D8" s="512"/>
      <c r="E8" s="512"/>
      <c r="F8" s="512"/>
      <c r="G8" s="512"/>
      <c r="H8" s="512"/>
      <c r="I8" s="512"/>
      <c r="J8" s="512"/>
      <c r="K8" s="512"/>
      <c r="L8" s="512"/>
      <c r="M8" s="512"/>
      <c r="N8" s="512"/>
      <c r="O8" s="512"/>
      <c r="P8" s="512"/>
      <c r="Q8" s="512"/>
      <c r="R8" s="512"/>
      <c r="S8" s="791"/>
      <c r="T8" s="368"/>
      <c r="AL8" s="786"/>
    </row>
    <row r="9" spans="1:38">
      <c r="A9" s="615"/>
      <c r="C9" s="512"/>
      <c r="D9" s="512"/>
      <c r="E9" s="512"/>
      <c r="F9" s="512"/>
      <c r="G9" s="512"/>
      <c r="H9" s="512"/>
      <c r="I9" s="512"/>
      <c r="J9" s="512"/>
      <c r="K9" s="512"/>
      <c r="L9" s="512"/>
      <c r="M9" s="512"/>
      <c r="N9" s="512"/>
      <c r="O9" s="512"/>
      <c r="P9" s="512"/>
      <c r="Q9" s="512"/>
      <c r="R9" s="512"/>
      <c r="S9" s="791"/>
      <c r="T9" s="368"/>
      <c r="AL9" s="786"/>
    </row>
    <row r="10" spans="1:38">
      <c r="A10" s="615"/>
      <c r="B10" s="512" t="s">
        <v>744</v>
      </c>
      <c r="C10" s="512"/>
      <c r="D10" s="512"/>
      <c r="E10" s="512"/>
      <c r="F10" s="512"/>
      <c r="G10" s="512"/>
      <c r="H10" s="512"/>
      <c r="I10" s="512"/>
      <c r="J10" s="512"/>
      <c r="K10" s="512"/>
      <c r="L10" s="512"/>
      <c r="M10" s="512"/>
      <c r="N10" s="512"/>
      <c r="O10" s="512"/>
      <c r="P10" s="512"/>
      <c r="Q10" s="512"/>
      <c r="R10" s="512"/>
      <c r="S10" s="791"/>
      <c r="T10" s="368"/>
      <c r="AL10" s="786"/>
    </row>
    <row r="11" spans="1:38">
      <c r="A11" s="615"/>
      <c r="B11" s="514" t="s">
        <v>745</v>
      </c>
      <c r="C11" s="512"/>
      <c r="D11" s="512"/>
      <c r="E11" s="512"/>
      <c r="F11" s="512"/>
      <c r="G11" s="512"/>
      <c r="H11" s="512"/>
      <c r="I11" s="512"/>
      <c r="J11" s="512"/>
      <c r="K11" s="512"/>
      <c r="L11" s="512"/>
      <c r="M11" s="512"/>
      <c r="N11" s="512"/>
      <c r="O11" s="512"/>
      <c r="P11" s="512"/>
      <c r="Q11" s="512"/>
      <c r="R11" s="512"/>
      <c r="S11" s="791"/>
      <c r="T11" s="368"/>
      <c r="AL11" s="786"/>
    </row>
    <row r="12" spans="1:38">
      <c r="A12" s="615"/>
      <c r="B12" s="512" t="s">
        <v>746</v>
      </c>
      <c r="C12" s="512"/>
      <c r="D12" s="512"/>
      <c r="E12" s="512"/>
      <c r="F12" s="512"/>
      <c r="G12" s="512"/>
      <c r="H12" s="512"/>
      <c r="I12" s="512"/>
      <c r="J12" s="512"/>
      <c r="K12" s="512"/>
      <c r="L12" s="512"/>
      <c r="M12" s="512"/>
      <c r="N12" s="512"/>
      <c r="O12" s="512"/>
      <c r="P12" s="512"/>
      <c r="Q12" s="512"/>
      <c r="R12" s="512"/>
      <c r="S12" s="791"/>
      <c r="T12" s="368"/>
      <c r="AL12" s="786"/>
    </row>
    <row r="13" spans="1:38">
      <c r="A13" s="615"/>
      <c r="B13" s="512" t="s">
        <v>747</v>
      </c>
      <c r="C13" s="512"/>
      <c r="D13" s="512"/>
      <c r="E13" s="512"/>
      <c r="F13" s="512"/>
      <c r="G13" s="512"/>
      <c r="H13" s="512"/>
      <c r="I13" s="512"/>
      <c r="J13" s="512"/>
      <c r="K13" s="512"/>
      <c r="L13" s="512"/>
      <c r="M13" s="512"/>
      <c r="N13" s="512"/>
      <c r="O13" s="512"/>
      <c r="P13" s="512"/>
      <c r="Q13" s="512"/>
      <c r="R13" s="512"/>
      <c r="S13" s="791"/>
      <c r="T13" s="368"/>
      <c r="AL13" s="786"/>
    </row>
    <row r="14" spans="1:38">
      <c r="A14" s="615"/>
      <c r="B14" s="512"/>
      <c r="C14" s="512"/>
      <c r="D14" s="512"/>
      <c r="E14" s="512"/>
      <c r="F14" s="512"/>
      <c r="G14" s="512"/>
      <c r="H14" s="512"/>
      <c r="I14" s="512"/>
      <c r="J14" s="512"/>
      <c r="K14" s="512"/>
      <c r="L14" s="512"/>
      <c r="M14" s="512"/>
      <c r="N14" s="512"/>
      <c r="O14" s="512"/>
      <c r="P14" s="512"/>
      <c r="Q14" s="512"/>
      <c r="R14" s="512"/>
      <c r="S14" s="791"/>
      <c r="T14" s="368"/>
      <c r="AL14" s="786"/>
    </row>
    <row r="15" spans="1:38">
      <c r="A15" s="615"/>
      <c r="B15" s="512" t="s">
        <v>748</v>
      </c>
      <c r="C15" s="512"/>
      <c r="D15" s="512"/>
      <c r="E15" s="512"/>
      <c r="F15" s="512"/>
      <c r="G15" s="512"/>
      <c r="H15" s="512"/>
      <c r="I15" s="512"/>
      <c r="J15" s="512"/>
      <c r="K15" s="512"/>
      <c r="L15" s="512"/>
      <c r="M15" s="512"/>
      <c r="N15" s="512"/>
      <c r="O15" s="512"/>
      <c r="P15" s="512"/>
      <c r="Q15" s="512"/>
      <c r="R15" s="512"/>
      <c r="S15" s="791"/>
      <c r="T15" s="368"/>
      <c r="AL15" s="786"/>
    </row>
    <row r="16" spans="1:38">
      <c r="A16" s="615"/>
      <c r="B16" s="514" t="s">
        <v>749</v>
      </c>
      <c r="C16" s="512"/>
      <c r="D16" s="512"/>
      <c r="E16" s="512"/>
      <c r="F16" s="512"/>
      <c r="G16" s="512"/>
      <c r="H16" s="512"/>
      <c r="I16" s="512"/>
      <c r="J16" s="512"/>
      <c r="K16" s="512"/>
      <c r="L16" s="512"/>
      <c r="M16" s="512"/>
      <c r="N16" s="512"/>
      <c r="O16" s="512"/>
      <c r="P16" s="512"/>
      <c r="Q16" s="512"/>
      <c r="R16" s="512"/>
      <c r="S16" s="791"/>
      <c r="T16" s="368"/>
      <c r="AL16" s="786"/>
    </row>
    <row r="17" spans="1:38">
      <c r="A17" s="615"/>
      <c r="B17" s="514" t="s">
        <v>750</v>
      </c>
      <c r="C17" s="512"/>
      <c r="D17" s="512"/>
      <c r="E17" s="512"/>
      <c r="F17" s="512"/>
      <c r="G17" s="512"/>
      <c r="H17" s="512"/>
      <c r="I17" s="512"/>
      <c r="J17" s="512"/>
      <c r="K17" s="512"/>
      <c r="L17" s="512"/>
      <c r="M17" s="512"/>
      <c r="N17" s="512"/>
      <c r="O17" s="512"/>
      <c r="P17" s="512"/>
      <c r="Q17" s="512"/>
      <c r="R17" s="512"/>
      <c r="S17" s="791"/>
      <c r="T17" s="368"/>
      <c r="AL17" s="786"/>
    </row>
    <row r="18" spans="1:38">
      <c r="A18" s="615"/>
      <c r="B18" s="514" t="s">
        <v>751</v>
      </c>
      <c r="C18" s="512"/>
      <c r="D18" s="512"/>
      <c r="E18" s="512"/>
      <c r="F18" s="512"/>
      <c r="G18" s="512"/>
      <c r="H18" s="512"/>
      <c r="I18" s="512"/>
      <c r="J18" s="512"/>
      <c r="K18" s="512"/>
      <c r="L18" s="512"/>
      <c r="M18" s="512"/>
      <c r="N18" s="512"/>
      <c r="O18" s="512"/>
      <c r="P18" s="512"/>
      <c r="Q18" s="512"/>
      <c r="R18" s="512"/>
      <c r="S18" s="791"/>
      <c r="T18" s="368"/>
      <c r="AL18" s="786"/>
    </row>
    <row r="19" spans="1:38">
      <c r="A19" s="615"/>
      <c r="B19" s="514" t="s">
        <v>752</v>
      </c>
      <c r="C19" s="512"/>
      <c r="D19" s="512"/>
      <c r="E19" s="512"/>
      <c r="F19" s="512"/>
      <c r="G19" s="512"/>
      <c r="H19" s="512"/>
      <c r="I19" s="512"/>
      <c r="J19" s="512"/>
      <c r="K19" s="512"/>
      <c r="L19" s="512"/>
      <c r="M19" s="512"/>
      <c r="N19" s="512"/>
      <c r="O19" s="512"/>
      <c r="P19" s="512"/>
      <c r="Q19" s="512"/>
      <c r="R19" s="512"/>
      <c r="S19" s="791"/>
      <c r="T19" s="368"/>
      <c r="AL19" s="786"/>
    </row>
    <row r="20" spans="1:38">
      <c r="A20" s="615"/>
      <c r="B20" s="512"/>
      <c r="C20" s="512"/>
      <c r="D20" s="512"/>
      <c r="E20" s="512"/>
      <c r="F20" s="512"/>
      <c r="G20" s="512"/>
      <c r="H20" s="512"/>
      <c r="I20" s="512"/>
      <c r="J20" s="512"/>
      <c r="K20" s="512"/>
      <c r="L20" s="512"/>
      <c r="M20" s="512"/>
      <c r="N20" s="512"/>
      <c r="O20" s="512"/>
      <c r="P20" s="512"/>
      <c r="Q20" s="512"/>
      <c r="R20" s="512"/>
      <c r="S20" s="791"/>
      <c r="T20" s="368"/>
      <c r="AL20" s="786"/>
    </row>
    <row r="21" spans="1:38">
      <c r="A21" s="615"/>
      <c r="B21" s="512" t="s">
        <v>753</v>
      </c>
      <c r="C21" s="512"/>
      <c r="D21" s="512"/>
      <c r="E21" s="512"/>
      <c r="F21" s="512"/>
      <c r="G21" s="512"/>
      <c r="H21" s="512"/>
      <c r="I21" s="512"/>
      <c r="J21" s="512"/>
      <c r="K21" s="512"/>
      <c r="L21" s="512"/>
      <c r="M21" s="512"/>
      <c r="N21" s="512"/>
      <c r="O21" s="512"/>
      <c r="P21" s="512"/>
      <c r="Q21" s="512"/>
      <c r="R21" s="512"/>
      <c r="S21" s="791"/>
      <c r="T21" s="368"/>
      <c r="AL21" s="786"/>
    </row>
    <row r="22" spans="1:38">
      <c r="A22" s="615"/>
      <c r="B22" s="512"/>
      <c r="C22" s="512"/>
      <c r="D22" s="512"/>
      <c r="E22" s="512"/>
      <c r="F22" s="512"/>
      <c r="G22" s="512"/>
      <c r="H22" s="512"/>
      <c r="I22" s="512"/>
      <c r="J22" s="512"/>
      <c r="K22" s="512"/>
      <c r="L22" s="512"/>
      <c r="M22" s="512"/>
      <c r="N22" s="512"/>
      <c r="O22" s="512"/>
      <c r="P22" s="512"/>
      <c r="Q22" s="512"/>
      <c r="R22" s="512"/>
      <c r="S22" s="791"/>
      <c r="T22" s="368"/>
      <c r="AL22" s="786"/>
    </row>
    <row r="23" spans="1:38">
      <c r="A23" s="615"/>
      <c r="B23" s="793"/>
      <c r="C23" s="512"/>
      <c r="D23" s="512"/>
      <c r="E23" s="512"/>
      <c r="F23" s="512"/>
      <c r="G23" s="512"/>
      <c r="H23" s="512"/>
      <c r="I23" s="512"/>
      <c r="J23" s="512"/>
      <c r="K23" s="512"/>
      <c r="L23" s="512"/>
      <c r="M23" s="512"/>
      <c r="N23" s="512"/>
      <c r="O23" s="512"/>
      <c r="P23" s="512"/>
      <c r="Q23" s="512"/>
      <c r="R23" s="512"/>
      <c r="S23" s="791"/>
      <c r="T23" s="368"/>
      <c r="AL23" s="786"/>
    </row>
    <row r="24" spans="1:38">
      <c r="A24" s="615"/>
      <c r="C24" s="512"/>
      <c r="D24" s="512"/>
      <c r="E24" s="512"/>
      <c r="F24" s="512"/>
      <c r="G24" s="512"/>
      <c r="H24" s="512"/>
      <c r="I24" s="512"/>
      <c r="J24" s="512"/>
      <c r="K24" s="512"/>
      <c r="L24" s="512"/>
      <c r="M24" s="512"/>
      <c r="N24" s="512"/>
      <c r="O24" s="512"/>
      <c r="P24" s="512"/>
      <c r="Q24" s="512"/>
      <c r="R24" s="512"/>
      <c r="S24" s="791"/>
      <c r="T24" s="368"/>
      <c r="AL24" s="786"/>
    </row>
    <row r="25" spans="1:38">
      <c r="A25" s="615"/>
      <c r="B25" s="793"/>
      <c r="C25" s="512"/>
      <c r="D25" s="512"/>
      <c r="E25" s="512"/>
      <c r="F25" s="512"/>
      <c r="G25" s="512"/>
      <c r="H25" s="512"/>
      <c r="I25" s="512"/>
      <c r="J25" s="512"/>
      <c r="K25" s="512"/>
      <c r="L25" s="512"/>
      <c r="M25" s="512"/>
      <c r="N25" s="512"/>
      <c r="O25" s="512"/>
      <c r="P25" s="512"/>
      <c r="Q25" s="512"/>
      <c r="R25" s="512"/>
      <c r="S25" s="791"/>
      <c r="T25" s="368"/>
      <c r="AL25" s="786"/>
    </row>
    <row r="26" spans="1:38">
      <c r="A26" s="615"/>
      <c r="C26" s="512"/>
      <c r="D26" s="512"/>
      <c r="E26" s="512"/>
      <c r="F26" s="512"/>
      <c r="G26" s="512"/>
      <c r="H26" s="512"/>
      <c r="I26" s="512"/>
      <c r="J26" s="512"/>
      <c r="K26" s="512"/>
      <c r="L26" s="512"/>
      <c r="M26" s="512"/>
      <c r="N26" s="512"/>
      <c r="O26" s="512"/>
      <c r="P26" s="512"/>
      <c r="Q26" s="512"/>
      <c r="R26" s="512"/>
      <c r="S26" s="791"/>
      <c r="T26" s="368"/>
      <c r="AL26" s="786"/>
    </row>
    <row r="27" spans="1:38">
      <c r="A27" s="615"/>
      <c r="B27" s="793"/>
      <c r="C27" s="512"/>
      <c r="D27" s="512"/>
      <c r="E27" s="512"/>
      <c r="F27" s="512"/>
      <c r="G27" s="512"/>
      <c r="H27" s="512"/>
      <c r="I27" s="512"/>
      <c r="J27" s="512"/>
      <c r="K27" s="512"/>
      <c r="L27" s="512"/>
      <c r="M27" s="512"/>
      <c r="N27" s="512"/>
      <c r="O27" s="512"/>
      <c r="P27" s="512"/>
      <c r="Q27" s="512"/>
      <c r="R27" s="512"/>
      <c r="S27" s="791"/>
      <c r="T27" s="368"/>
      <c r="AL27" s="786"/>
    </row>
    <row r="28" spans="1:38">
      <c r="A28" s="615"/>
      <c r="C28" s="512"/>
      <c r="D28" s="512"/>
      <c r="E28" s="512"/>
      <c r="F28" s="512"/>
      <c r="G28" s="512"/>
      <c r="H28" s="512"/>
      <c r="I28" s="512"/>
      <c r="J28" s="512"/>
      <c r="K28" s="512"/>
      <c r="L28" s="512"/>
      <c r="M28" s="512"/>
      <c r="N28" s="512"/>
      <c r="O28" s="512"/>
      <c r="P28" s="512"/>
      <c r="Q28" s="512"/>
      <c r="R28" s="512"/>
      <c r="S28" s="791"/>
      <c r="T28" s="368"/>
      <c r="AL28" s="786"/>
    </row>
    <row r="29" spans="1:38">
      <c r="A29" s="615"/>
      <c r="B29" s="512"/>
      <c r="C29" s="512"/>
      <c r="D29" s="512"/>
      <c r="E29" s="512"/>
      <c r="F29" s="512"/>
      <c r="G29" s="512"/>
      <c r="H29" s="512"/>
      <c r="I29" s="512"/>
      <c r="J29" s="512"/>
      <c r="K29" s="512"/>
      <c r="L29" s="512"/>
      <c r="M29" s="512"/>
      <c r="N29" s="512"/>
      <c r="O29" s="512"/>
      <c r="P29" s="512"/>
      <c r="Q29" s="512"/>
      <c r="R29" s="512"/>
      <c r="S29" s="791"/>
      <c r="T29" s="368"/>
      <c r="AL29" s="786"/>
    </row>
    <row r="30" spans="1:38">
      <c r="A30" s="615"/>
      <c r="B30" s="512"/>
      <c r="C30" s="512"/>
      <c r="D30" s="512"/>
      <c r="E30" s="512"/>
      <c r="F30" s="512"/>
      <c r="G30" s="512"/>
      <c r="H30" s="512"/>
      <c r="I30" s="512"/>
      <c r="J30" s="512"/>
      <c r="K30" s="512"/>
      <c r="L30" s="512"/>
      <c r="M30" s="512"/>
      <c r="N30" s="512"/>
      <c r="O30" s="512"/>
      <c r="P30" s="512"/>
      <c r="Q30" s="512"/>
      <c r="R30" s="512"/>
      <c r="S30" s="791"/>
      <c r="T30" s="368"/>
      <c r="AL30" s="786"/>
    </row>
    <row r="31" spans="1:38">
      <c r="A31" s="615"/>
      <c r="B31" s="512"/>
      <c r="C31" s="512"/>
      <c r="D31" s="512"/>
      <c r="E31" s="512"/>
      <c r="F31" s="512"/>
      <c r="G31" s="512"/>
      <c r="H31" s="512"/>
      <c r="I31" s="512"/>
      <c r="J31" s="512"/>
      <c r="K31" s="512"/>
      <c r="L31" s="512"/>
      <c r="M31" s="512"/>
      <c r="N31" s="512"/>
      <c r="O31" s="512"/>
      <c r="P31" s="512"/>
      <c r="Q31" s="512"/>
      <c r="R31" s="512"/>
      <c r="S31" s="791"/>
      <c r="T31" s="368"/>
      <c r="AL31" s="786"/>
    </row>
    <row r="32" spans="1:38">
      <c r="A32" s="615"/>
      <c r="B32" s="512"/>
      <c r="C32" s="512"/>
      <c r="D32" s="512"/>
      <c r="E32" s="512"/>
      <c r="F32" s="512"/>
      <c r="G32" s="512"/>
      <c r="H32" s="512"/>
      <c r="I32" s="512"/>
      <c r="J32" s="512"/>
      <c r="K32" s="512"/>
      <c r="L32" s="512"/>
      <c r="M32" s="512"/>
      <c r="N32" s="512"/>
      <c r="O32" s="512"/>
      <c r="P32" s="512"/>
      <c r="Q32" s="512"/>
      <c r="R32" s="512"/>
      <c r="S32" s="791"/>
      <c r="T32" s="368"/>
      <c r="AL32" s="786"/>
    </row>
    <row r="33" spans="1:38">
      <c r="A33" s="615"/>
      <c r="B33" s="512"/>
      <c r="C33" s="512"/>
      <c r="D33" s="512"/>
      <c r="E33" s="512"/>
      <c r="F33" s="512"/>
      <c r="G33" s="512"/>
      <c r="H33" s="512"/>
      <c r="I33" s="512"/>
      <c r="J33" s="512"/>
      <c r="K33" s="512"/>
      <c r="L33" s="512"/>
      <c r="M33" s="512"/>
      <c r="N33" s="512"/>
      <c r="O33" s="512"/>
      <c r="P33" s="512"/>
      <c r="Q33" s="512"/>
      <c r="R33" s="512"/>
      <c r="S33" s="791"/>
      <c r="T33" s="368"/>
      <c r="AL33" s="786"/>
    </row>
    <row r="34" spans="1:38">
      <c r="A34" s="615"/>
      <c r="B34" s="512"/>
      <c r="C34" s="512"/>
      <c r="D34" s="512"/>
      <c r="E34" s="512"/>
      <c r="F34" s="512"/>
      <c r="G34" s="512"/>
      <c r="H34" s="512"/>
      <c r="I34" s="512"/>
      <c r="J34" s="512"/>
      <c r="K34" s="512"/>
      <c r="L34" s="512"/>
      <c r="M34" s="512"/>
      <c r="N34" s="512"/>
      <c r="O34" s="512"/>
      <c r="P34" s="512"/>
      <c r="Q34" s="512"/>
      <c r="R34" s="512"/>
      <c r="S34" s="791"/>
      <c r="T34" s="368"/>
      <c r="AL34" s="786"/>
    </row>
    <row r="35" spans="1:38">
      <c r="A35" s="615"/>
      <c r="B35" s="512"/>
      <c r="C35" s="512"/>
      <c r="D35" s="512"/>
      <c r="E35" s="512"/>
      <c r="F35" s="512"/>
      <c r="G35" s="512"/>
      <c r="H35" s="512"/>
      <c r="I35" s="512"/>
      <c r="J35" s="512"/>
      <c r="K35" s="512"/>
      <c r="L35" s="512"/>
      <c r="M35" s="512"/>
      <c r="N35" s="512"/>
      <c r="O35" s="512"/>
      <c r="P35" s="512"/>
      <c r="Q35" s="512"/>
      <c r="R35" s="512"/>
      <c r="S35" s="791"/>
      <c r="T35" s="368"/>
      <c r="AL35" s="786"/>
    </row>
    <row r="36" spans="1:38">
      <c r="A36" s="615"/>
      <c r="B36" s="512"/>
      <c r="C36" s="512"/>
      <c r="D36" s="512"/>
      <c r="E36" s="512"/>
      <c r="F36" s="512"/>
      <c r="G36" s="512"/>
      <c r="H36" s="512"/>
      <c r="I36" s="512"/>
      <c r="J36" s="512"/>
      <c r="K36" s="512"/>
      <c r="L36" s="512"/>
      <c r="M36" s="512"/>
      <c r="N36" s="512"/>
      <c r="O36" s="512"/>
      <c r="P36" s="512"/>
      <c r="Q36" s="512"/>
      <c r="S36" s="791"/>
      <c r="T36" s="368"/>
      <c r="AL36" s="786"/>
    </row>
    <row r="37" spans="1:38">
      <c r="A37" s="615"/>
      <c r="B37" s="512" t="s">
        <v>754</v>
      </c>
      <c r="C37" s="512"/>
      <c r="D37" s="512"/>
      <c r="E37" s="512"/>
      <c r="F37" s="512"/>
      <c r="G37" s="512"/>
      <c r="H37" s="512"/>
      <c r="I37" s="512"/>
      <c r="J37" s="512"/>
      <c r="K37" s="512"/>
      <c r="L37" s="512"/>
      <c r="M37" s="512"/>
      <c r="N37" s="512"/>
      <c r="O37" s="512"/>
      <c r="P37" s="512"/>
      <c r="Q37" s="512"/>
      <c r="R37" s="512"/>
      <c r="S37" s="791"/>
      <c r="T37" s="368"/>
      <c r="U37" s="1003"/>
      <c r="V37" s="1003"/>
      <c r="W37" s="1003"/>
      <c r="X37" s="1003"/>
      <c r="Y37" s="1003"/>
      <c r="Z37" s="1003"/>
      <c r="AA37" s="1003"/>
      <c r="AB37" s="1003"/>
      <c r="AC37" s="1003"/>
      <c r="AD37" s="1003"/>
      <c r="AE37" s="1003"/>
      <c r="AF37" s="1003"/>
      <c r="AG37" s="1003"/>
      <c r="AH37" s="1003"/>
      <c r="AI37" s="1003"/>
      <c r="AJ37" s="1003"/>
      <c r="AK37" s="1003"/>
      <c r="AL37" s="786"/>
    </row>
    <row r="38" spans="1:38">
      <c r="A38" s="615"/>
      <c r="B38" s="512"/>
      <c r="C38" s="512"/>
      <c r="D38" s="512"/>
      <c r="E38" s="512"/>
      <c r="F38" s="512"/>
      <c r="G38" s="512"/>
      <c r="H38" s="512"/>
      <c r="I38" s="512"/>
      <c r="J38" s="512"/>
      <c r="K38" s="512"/>
      <c r="L38" s="512"/>
      <c r="M38" s="512"/>
      <c r="N38" s="512"/>
      <c r="O38" s="512"/>
      <c r="P38" s="512"/>
      <c r="Q38" s="512"/>
      <c r="R38" s="512"/>
      <c r="S38" s="791"/>
      <c r="T38" s="368"/>
      <c r="AL38" s="786"/>
    </row>
    <row r="39" spans="1:38">
      <c r="A39" s="615"/>
      <c r="B39" s="512"/>
      <c r="C39" s="512"/>
      <c r="D39" s="512"/>
      <c r="E39" s="512"/>
      <c r="F39" s="512"/>
      <c r="G39" s="512"/>
      <c r="H39" s="512"/>
      <c r="I39" s="512"/>
      <c r="J39" s="512"/>
      <c r="K39" s="512"/>
      <c r="L39" s="512"/>
      <c r="M39" s="512"/>
      <c r="N39" s="512"/>
      <c r="O39" s="512"/>
      <c r="P39" s="512"/>
      <c r="Q39" s="512"/>
      <c r="R39" s="512"/>
      <c r="S39" s="791"/>
      <c r="T39" s="368"/>
      <c r="AL39" s="786"/>
    </row>
    <row r="40" spans="1:38">
      <c r="A40" s="615"/>
      <c r="B40" s="512"/>
      <c r="C40" s="512"/>
      <c r="D40" s="512"/>
      <c r="E40" s="512"/>
      <c r="F40" s="512"/>
      <c r="G40" s="512"/>
      <c r="H40" s="512"/>
      <c r="I40" s="512"/>
      <c r="J40" s="512"/>
      <c r="K40" s="512"/>
      <c r="L40" s="512"/>
      <c r="M40" s="512"/>
      <c r="N40" s="512"/>
      <c r="O40" s="512"/>
      <c r="P40" s="512"/>
      <c r="Q40" s="512"/>
      <c r="R40" s="512"/>
      <c r="S40" s="791"/>
      <c r="T40" s="368"/>
      <c r="AL40" s="786"/>
    </row>
    <row r="41" spans="1:38">
      <c r="A41" s="615"/>
      <c r="B41" s="512"/>
      <c r="C41" s="512"/>
      <c r="D41" s="512"/>
      <c r="E41" s="512"/>
      <c r="F41" s="512"/>
      <c r="G41" s="512"/>
      <c r="H41" s="512"/>
      <c r="I41" s="512"/>
      <c r="J41" s="512"/>
      <c r="K41" s="512"/>
      <c r="L41" s="512"/>
      <c r="M41" s="512"/>
      <c r="N41" s="512"/>
      <c r="O41" s="512"/>
      <c r="P41" s="512"/>
      <c r="Q41" s="512"/>
      <c r="R41" s="512"/>
      <c r="S41" s="791"/>
      <c r="T41" s="368"/>
      <c r="AL41" s="786"/>
    </row>
    <row r="42" spans="1:38">
      <c r="A42" s="615"/>
      <c r="B42" s="512"/>
      <c r="C42" s="512"/>
      <c r="D42" s="512"/>
      <c r="E42" s="512"/>
      <c r="F42" s="512"/>
      <c r="G42" s="512"/>
      <c r="H42" s="512"/>
      <c r="I42" s="512"/>
      <c r="J42" s="512"/>
      <c r="K42" s="512"/>
      <c r="L42" s="512"/>
      <c r="M42" s="512"/>
      <c r="N42" s="512"/>
      <c r="O42" s="512"/>
      <c r="P42" s="512"/>
      <c r="Q42" s="512"/>
      <c r="R42" s="512"/>
      <c r="S42" s="791"/>
      <c r="T42" s="368"/>
      <c r="AL42" s="786"/>
    </row>
    <row r="43" spans="1:38">
      <c r="A43" s="615"/>
      <c r="B43" s="512"/>
      <c r="C43" s="512"/>
      <c r="D43" s="512"/>
      <c r="E43" s="512"/>
      <c r="F43" s="512"/>
      <c r="G43" s="512"/>
      <c r="H43" s="512"/>
      <c r="I43" s="512"/>
      <c r="J43" s="512"/>
      <c r="K43" s="512"/>
      <c r="L43" s="512"/>
      <c r="M43" s="512"/>
      <c r="N43" s="512"/>
      <c r="O43" s="512"/>
      <c r="P43" s="512"/>
      <c r="Q43" s="512"/>
      <c r="R43" s="512"/>
      <c r="S43" s="791"/>
      <c r="T43" s="368"/>
      <c r="AL43" s="786"/>
    </row>
    <row r="44" spans="1:38">
      <c r="A44" s="615"/>
      <c r="B44" s="512"/>
      <c r="C44" s="512"/>
      <c r="D44" s="512"/>
      <c r="E44" s="512"/>
      <c r="F44" s="512"/>
      <c r="G44" s="512"/>
      <c r="H44" s="512"/>
      <c r="I44" s="512"/>
      <c r="J44" s="512"/>
      <c r="K44" s="512"/>
      <c r="L44" s="512"/>
      <c r="M44" s="512"/>
      <c r="N44" s="512"/>
      <c r="O44" s="512"/>
      <c r="P44" s="512"/>
      <c r="Q44" s="512"/>
      <c r="R44" s="512"/>
      <c r="S44" s="791"/>
      <c r="T44" s="368"/>
      <c r="AL44" s="786"/>
    </row>
    <row r="45" spans="1:38">
      <c r="A45" s="615"/>
      <c r="B45" s="512"/>
      <c r="C45" s="512"/>
      <c r="D45" s="512"/>
      <c r="E45" s="512"/>
      <c r="F45" s="512"/>
      <c r="G45" s="512"/>
      <c r="H45" s="512"/>
      <c r="I45" s="512"/>
      <c r="J45" s="512"/>
      <c r="K45" s="512"/>
      <c r="L45" s="512"/>
      <c r="M45" s="512"/>
      <c r="N45" s="512"/>
      <c r="O45" s="512"/>
      <c r="P45" s="512"/>
      <c r="Q45" s="512"/>
      <c r="R45" s="512"/>
      <c r="S45" s="791"/>
      <c r="T45" s="368"/>
      <c r="V45" s="145"/>
      <c r="AL45" s="786"/>
    </row>
    <row r="46" spans="1:38">
      <c r="A46" s="615"/>
      <c r="B46" s="512"/>
      <c r="C46" s="512"/>
      <c r="D46" s="512"/>
      <c r="E46" s="512"/>
      <c r="F46" s="512"/>
      <c r="G46" s="512"/>
      <c r="H46" s="512"/>
      <c r="I46" s="512"/>
      <c r="J46" s="512"/>
      <c r="K46" s="512"/>
      <c r="L46" s="512"/>
      <c r="M46" s="512"/>
      <c r="N46" s="512"/>
      <c r="O46" s="512"/>
      <c r="P46" s="512"/>
      <c r="Q46" s="512"/>
      <c r="R46" s="512"/>
      <c r="S46" s="791"/>
      <c r="T46" s="368"/>
      <c r="AL46" s="786"/>
    </row>
    <row r="47" spans="1:38">
      <c r="A47" s="615"/>
      <c r="B47" s="512"/>
      <c r="C47" s="512"/>
      <c r="D47" s="512"/>
      <c r="E47" s="512"/>
      <c r="F47" s="512"/>
      <c r="G47" s="512"/>
      <c r="H47" s="512"/>
      <c r="I47" s="512"/>
      <c r="J47" s="512"/>
      <c r="K47" s="512"/>
      <c r="L47" s="512"/>
      <c r="M47" s="512"/>
      <c r="N47" s="512"/>
      <c r="O47" s="512"/>
      <c r="P47" s="512"/>
      <c r="Q47" s="512"/>
      <c r="R47" s="512"/>
      <c r="S47" s="791"/>
      <c r="T47" s="368"/>
      <c r="AL47" s="786"/>
    </row>
    <row r="48" spans="1:38">
      <c r="A48" s="615"/>
      <c r="B48" s="512"/>
      <c r="C48" s="512"/>
      <c r="D48" s="512"/>
      <c r="E48" s="512"/>
      <c r="F48" s="512"/>
      <c r="G48" s="512"/>
      <c r="H48" s="512"/>
      <c r="I48" s="512"/>
      <c r="J48" s="512"/>
      <c r="K48" s="512"/>
      <c r="L48" s="512"/>
      <c r="M48" s="512"/>
      <c r="N48" s="512"/>
      <c r="O48" s="512"/>
      <c r="P48" s="512"/>
      <c r="Q48" s="512"/>
      <c r="R48" s="512"/>
      <c r="S48" s="791"/>
      <c r="T48" s="368"/>
      <c r="AL48" s="786"/>
    </row>
    <row r="49" spans="1:38">
      <c r="A49" s="615"/>
      <c r="B49" s="512"/>
      <c r="C49" s="512"/>
      <c r="D49" s="512"/>
      <c r="E49" s="512"/>
      <c r="F49" s="512"/>
      <c r="G49" s="512"/>
      <c r="H49" s="512"/>
      <c r="I49" s="512"/>
      <c r="J49" s="512"/>
      <c r="K49" s="512"/>
      <c r="L49" s="512"/>
      <c r="M49" s="512"/>
      <c r="N49" s="512"/>
      <c r="O49" s="512"/>
      <c r="P49" s="512"/>
      <c r="Q49" s="512"/>
      <c r="R49" s="512"/>
      <c r="S49" s="791"/>
      <c r="T49" s="368"/>
      <c r="AL49" s="786"/>
    </row>
    <row r="50" spans="1:38">
      <c r="A50" s="615"/>
      <c r="B50" s="512"/>
      <c r="C50" s="512"/>
      <c r="D50" s="512"/>
      <c r="E50" s="512"/>
      <c r="F50" s="512"/>
      <c r="G50" s="512"/>
      <c r="H50" s="512"/>
      <c r="I50" s="512"/>
      <c r="J50" s="512"/>
      <c r="K50" s="512"/>
      <c r="L50" s="512"/>
      <c r="M50" s="512"/>
      <c r="N50" s="512"/>
      <c r="O50" s="512"/>
      <c r="P50" s="512"/>
      <c r="Q50" s="512"/>
      <c r="R50" s="512"/>
      <c r="S50" s="791"/>
      <c r="T50" s="368"/>
      <c r="AL50" s="786"/>
    </row>
    <row r="51" spans="1:38">
      <c r="A51" s="615"/>
      <c r="B51" s="512"/>
      <c r="C51" s="512"/>
      <c r="D51" s="512"/>
      <c r="E51" s="512"/>
      <c r="F51" s="512"/>
      <c r="G51" s="512"/>
      <c r="H51" s="512"/>
      <c r="I51" s="512"/>
      <c r="J51" s="512"/>
      <c r="K51" s="512"/>
      <c r="L51" s="512"/>
      <c r="M51" s="512"/>
      <c r="N51" s="512"/>
      <c r="O51" s="512"/>
      <c r="P51" s="512"/>
      <c r="Q51" s="512"/>
      <c r="R51" s="512"/>
      <c r="S51" s="791"/>
      <c r="T51" s="368"/>
      <c r="AL51" s="786"/>
    </row>
    <row r="52" spans="1:38">
      <c r="A52" s="615"/>
      <c r="B52" s="512"/>
      <c r="C52" s="512"/>
      <c r="D52" s="512"/>
      <c r="E52" s="512"/>
      <c r="F52" s="512"/>
      <c r="G52" s="512"/>
      <c r="H52" s="512"/>
      <c r="I52" s="512"/>
      <c r="J52" s="512"/>
      <c r="K52" s="512"/>
      <c r="L52" s="512"/>
      <c r="M52" s="512"/>
      <c r="N52" s="512"/>
      <c r="O52" s="512"/>
      <c r="P52" s="512"/>
      <c r="Q52" s="512"/>
      <c r="R52" s="512"/>
      <c r="S52" s="791"/>
      <c r="T52" s="368"/>
      <c r="AL52" s="786"/>
    </row>
    <row r="53" spans="1:38">
      <c r="A53" s="615"/>
      <c r="B53" s="512"/>
      <c r="C53" s="512"/>
      <c r="D53" s="512"/>
      <c r="E53" s="512"/>
      <c r="F53" s="512"/>
      <c r="G53" s="512"/>
      <c r="H53" s="512"/>
      <c r="I53" s="512"/>
      <c r="J53" s="512"/>
      <c r="K53" s="512"/>
      <c r="L53" s="512"/>
      <c r="M53" s="512"/>
      <c r="N53" s="512"/>
      <c r="O53" s="512"/>
      <c r="P53" s="512"/>
      <c r="Q53" s="512"/>
      <c r="R53" s="512"/>
      <c r="S53" s="791"/>
      <c r="T53" s="368"/>
      <c r="AL53" s="786"/>
    </row>
    <row r="54" spans="1:38">
      <c r="A54" s="615"/>
      <c r="B54" s="512"/>
      <c r="C54" s="512"/>
      <c r="D54" s="512"/>
      <c r="E54" s="512"/>
      <c r="F54" s="512"/>
      <c r="G54" s="512"/>
      <c r="H54" s="512"/>
      <c r="I54" s="512"/>
      <c r="J54" s="512"/>
      <c r="K54" s="512"/>
      <c r="L54" s="512"/>
      <c r="M54" s="512"/>
      <c r="N54" s="512"/>
      <c r="O54" s="512"/>
      <c r="P54" s="512"/>
      <c r="Q54" s="512"/>
      <c r="R54" s="512"/>
      <c r="S54" s="791"/>
      <c r="T54" s="368"/>
      <c r="AL54" s="786"/>
    </row>
    <row r="55" spans="1:38">
      <c r="A55" s="615"/>
      <c r="B55" s="512"/>
      <c r="C55" s="512"/>
      <c r="D55" s="512"/>
      <c r="E55" s="512"/>
      <c r="F55" s="512"/>
      <c r="G55" s="512"/>
      <c r="H55" s="512"/>
      <c r="I55" s="512"/>
      <c r="J55" s="512"/>
      <c r="K55" s="512"/>
      <c r="L55" s="512"/>
      <c r="M55" s="512"/>
      <c r="N55" s="512"/>
      <c r="O55" s="512"/>
      <c r="P55" s="512"/>
      <c r="Q55" s="512"/>
      <c r="R55" s="512"/>
      <c r="S55" s="791"/>
      <c r="T55" s="368"/>
      <c r="AL55" s="786"/>
    </row>
    <row r="56" spans="1:38">
      <c r="A56" s="615"/>
      <c r="B56" s="512"/>
      <c r="C56" s="512"/>
      <c r="D56" s="512"/>
      <c r="E56" s="512"/>
      <c r="F56" s="512"/>
      <c r="G56" s="512"/>
      <c r="H56" s="512"/>
      <c r="I56" s="512"/>
      <c r="J56" s="512"/>
      <c r="K56" s="512"/>
      <c r="L56" s="512"/>
      <c r="M56" s="512"/>
      <c r="N56" s="512"/>
      <c r="O56" s="512"/>
      <c r="P56" s="512"/>
      <c r="Q56" s="512"/>
      <c r="R56" s="512"/>
      <c r="S56" s="791"/>
      <c r="T56" s="368"/>
      <c r="AL56" s="786"/>
    </row>
    <row r="57" spans="1:38">
      <c r="A57" s="615"/>
      <c r="B57" s="512"/>
      <c r="C57" s="512"/>
      <c r="D57" s="512"/>
      <c r="E57" s="512"/>
      <c r="F57" s="512"/>
      <c r="G57" s="512"/>
      <c r="H57" s="512"/>
      <c r="I57" s="512"/>
      <c r="J57" s="512"/>
      <c r="K57" s="512"/>
      <c r="L57" s="512"/>
      <c r="M57" s="512"/>
      <c r="N57" s="512"/>
      <c r="O57" s="512"/>
      <c r="P57" s="512"/>
      <c r="Q57" s="512"/>
      <c r="R57" s="512"/>
      <c r="S57" s="791"/>
      <c r="T57" s="368"/>
      <c r="AL57" s="786"/>
    </row>
    <row r="58" spans="1:38">
      <c r="A58" s="615"/>
      <c r="B58" s="512"/>
      <c r="C58" s="512"/>
      <c r="D58" s="512"/>
      <c r="E58" s="512"/>
      <c r="F58" s="512"/>
      <c r="G58" s="512"/>
      <c r="H58" s="512"/>
      <c r="I58" s="512"/>
      <c r="J58" s="512"/>
      <c r="K58" s="512"/>
      <c r="L58" s="512"/>
      <c r="M58" s="512"/>
      <c r="N58" s="512"/>
      <c r="O58" s="512"/>
      <c r="P58" s="512"/>
      <c r="Q58" s="512"/>
      <c r="R58" s="512"/>
      <c r="S58" s="791"/>
      <c r="T58" s="368"/>
      <c r="AL58" s="786"/>
    </row>
    <row r="59" spans="1:38">
      <c r="A59" s="615"/>
      <c r="B59" s="512"/>
      <c r="C59" s="512"/>
      <c r="D59" s="512"/>
      <c r="E59" s="512"/>
      <c r="F59" s="512"/>
      <c r="G59" s="512"/>
      <c r="H59" s="512"/>
      <c r="I59" s="512"/>
      <c r="J59" s="512"/>
      <c r="K59" s="512"/>
      <c r="L59" s="512"/>
      <c r="M59" s="512"/>
      <c r="N59" s="512"/>
      <c r="O59" s="512"/>
      <c r="P59" s="512"/>
      <c r="Q59" s="512"/>
      <c r="R59" s="512"/>
      <c r="S59" s="791"/>
      <c r="T59" s="368"/>
      <c r="AL59" s="786"/>
    </row>
    <row r="60" spans="1:38">
      <c r="A60" s="615"/>
      <c r="B60" s="512"/>
      <c r="C60" s="512"/>
      <c r="D60" s="512"/>
      <c r="E60" s="512"/>
      <c r="F60" s="512"/>
      <c r="G60" s="512"/>
      <c r="H60" s="512"/>
      <c r="I60" s="512"/>
      <c r="J60" s="512"/>
      <c r="K60" s="512"/>
      <c r="L60" s="512"/>
      <c r="M60" s="512"/>
      <c r="N60" s="512"/>
      <c r="O60" s="512"/>
      <c r="P60" s="512"/>
      <c r="Q60" s="512"/>
      <c r="R60" s="512"/>
      <c r="S60" s="791"/>
      <c r="T60" s="368"/>
      <c r="AL60" s="786"/>
    </row>
    <row r="61" spans="1:38">
      <c r="A61" s="615"/>
      <c r="B61" s="512"/>
      <c r="C61" s="512"/>
      <c r="D61" s="512"/>
      <c r="E61" s="512"/>
      <c r="F61" s="512"/>
      <c r="G61" s="512"/>
      <c r="H61" s="512"/>
      <c r="I61" s="512"/>
      <c r="J61" s="512"/>
      <c r="K61" s="512"/>
      <c r="L61" s="512"/>
      <c r="M61" s="512"/>
      <c r="N61" s="512"/>
      <c r="O61" s="512"/>
      <c r="P61" s="512"/>
      <c r="Q61" s="512"/>
      <c r="R61" s="512"/>
      <c r="S61" s="791"/>
      <c r="T61" s="368"/>
      <c r="AL61" s="786"/>
    </row>
    <row r="62" spans="1:38">
      <c r="A62" s="615"/>
      <c r="B62" s="512"/>
      <c r="C62" s="512"/>
      <c r="D62" s="512"/>
      <c r="E62" s="512"/>
      <c r="F62" s="512"/>
      <c r="G62" s="512"/>
      <c r="H62" s="512"/>
      <c r="I62" s="512"/>
      <c r="J62" s="512"/>
      <c r="K62" s="512"/>
      <c r="L62" s="512"/>
      <c r="M62" s="512"/>
      <c r="N62" s="512"/>
      <c r="O62" s="512"/>
      <c r="P62" s="512"/>
      <c r="Q62" s="512"/>
      <c r="R62" s="512"/>
      <c r="S62" s="791"/>
      <c r="T62" s="368"/>
      <c r="AL62" s="786"/>
    </row>
    <row r="63" spans="1:38">
      <c r="A63" s="615"/>
      <c r="B63" s="512"/>
      <c r="C63" s="512"/>
      <c r="D63" s="512"/>
      <c r="E63" s="512"/>
      <c r="F63" s="512"/>
      <c r="G63" s="512"/>
      <c r="H63" s="512"/>
      <c r="I63" s="512"/>
      <c r="J63" s="512"/>
      <c r="K63" s="512"/>
      <c r="L63" s="512"/>
      <c r="M63" s="512"/>
      <c r="N63" s="512"/>
      <c r="O63" s="512"/>
      <c r="P63" s="512"/>
      <c r="Q63" s="512"/>
      <c r="R63" s="512"/>
      <c r="S63" s="791"/>
      <c r="T63" s="368"/>
      <c r="AL63" s="786"/>
    </row>
    <row r="64" spans="1:38">
      <c r="A64" s="615"/>
      <c r="B64" s="512"/>
      <c r="C64" s="512"/>
      <c r="D64" s="512"/>
      <c r="E64" s="512"/>
      <c r="F64" s="512"/>
      <c r="G64" s="512"/>
      <c r="H64" s="512"/>
      <c r="I64" s="512"/>
      <c r="J64" s="512"/>
      <c r="K64" s="512"/>
      <c r="L64" s="512"/>
      <c r="M64" s="512"/>
      <c r="N64" s="512"/>
      <c r="O64" s="512"/>
      <c r="P64" s="512"/>
      <c r="Q64" s="512"/>
      <c r="R64" s="512"/>
      <c r="S64" s="791"/>
      <c r="T64" s="368"/>
      <c r="AL64" s="786"/>
    </row>
    <row r="65" spans="1:38">
      <c r="A65" s="615"/>
      <c r="B65" s="512"/>
      <c r="C65" s="512"/>
      <c r="D65" s="512"/>
      <c r="E65" s="512"/>
      <c r="F65" s="512"/>
      <c r="G65" s="512"/>
      <c r="H65" s="512"/>
      <c r="I65" s="512"/>
      <c r="J65" s="512"/>
      <c r="K65" s="512"/>
      <c r="L65" s="512"/>
      <c r="M65" s="512"/>
      <c r="N65" s="512"/>
      <c r="O65" s="512"/>
      <c r="P65" s="512"/>
      <c r="Q65" s="512"/>
      <c r="R65" s="512"/>
      <c r="S65" s="791"/>
      <c r="T65" s="368"/>
      <c r="AL65" s="786"/>
    </row>
    <row r="66" spans="1:38">
      <c r="A66" s="615"/>
      <c r="B66" s="512"/>
      <c r="C66" s="512"/>
      <c r="D66" s="512"/>
      <c r="E66" s="512"/>
      <c r="F66" s="512"/>
      <c r="G66" s="512"/>
      <c r="H66" s="512"/>
      <c r="I66" s="512"/>
      <c r="J66" s="512"/>
      <c r="K66" s="512"/>
      <c r="L66" s="512"/>
      <c r="M66" s="512"/>
      <c r="N66" s="512"/>
      <c r="O66" s="512"/>
      <c r="P66" s="512"/>
      <c r="Q66" s="512"/>
      <c r="R66" s="512"/>
      <c r="S66" s="791"/>
      <c r="T66" s="368"/>
      <c r="AL66" s="786"/>
    </row>
    <row r="67" spans="1:38">
      <c r="A67" s="615"/>
      <c r="B67" s="512"/>
      <c r="C67" s="512"/>
      <c r="D67" s="512"/>
      <c r="E67" s="512"/>
      <c r="F67" s="512"/>
      <c r="G67" s="512"/>
      <c r="H67" s="512"/>
      <c r="I67" s="512"/>
      <c r="J67" s="512"/>
      <c r="K67" s="512"/>
      <c r="L67" s="512"/>
      <c r="M67" s="512"/>
      <c r="N67" s="512"/>
      <c r="O67" s="512"/>
      <c r="P67" s="512"/>
      <c r="Q67" s="512"/>
      <c r="R67" s="512"/>
      <c r="S67" s="791"/>
      <c r="T67" s="368"/>
      <c r="AL67" s="786"/>
    </row>
    <row r="68" spans="1:38">
      <c r="A68" s="615"/>
      <c r="B68" s="512"/>
      <c r="C68" s="512"/>
      <c r="D68" s="512"/>
      <c r="E68" s="512"/>
      <c r="F68" s="512"/>
      <c r="G68" s="512"/>
      <c r="H68" s="512"/>
      <c r="I68" s="512"/>
      <c r="J68" s="512"/>
      <c r="K68" s="512"/>
      <c r="L68" s="512"/>
      <c r="M68" s="512"/>
      <c r="N68" s="512"/>
      <c r="O68" s="512"/>
      <c r="P68" s="512"/>
      <c r="Q68" s="512"/>
      <c r="R68" s="512"/>
      <c r="S68" s="791"/>
      <c r="T68" s="368"/>
      <c r="AL68" s="786"/>
    </row>
    <row r="69" spans="1:38">
      <c r="A69" s="615"/>
      <c r="B69" s="512"/>
      <c r="C69" s="512"/>
      <c r="D69" s="512"/>
      <c r="E69" s="512"/>
      <c r="F69" s="512"/>
      <c r="G69" s="512"/>
      <c r="H69" s="512"/>
      <c r="I69" s="512"/>
      <c r="J69" s="512"/>
      <c r="K69" s="512"/>
      <c r="L69" s="512"/>
      <c r="M69" s="512"/>
      <c r="N69" s="512"/>
      <c r="O69" s="512"/>
      <c r="P69" s="512"/>
      <c r="Q69" s="512"/>
      <c r="R69" s="512"/>
      <c r="S69" s="791"/>
      <c r="T69" s="368"/>
      <c r="AL69" s="786"/>
    </row>
    <row r="70" spans="1:38">
      <c r="A70" s="615"/>
      <c r="B70" s="512"/>
      <c r="C70" s="512"/>
      <c r="D70" s="512"/>
      <c r="E70" s="512"/>
      <c r="F70" s="512"/>
      <c r="G70" s="512"/>
      <c r="H70" s="512"/>
      <c r="I70" s="512"/>
      <c r="J70" s="512"/>
      <c r="K70" s="512"/>
      <c r="L70" s="512"/>
      <c r="M70" s="512"/>
      <c r="N70" s="512"/>
      <c r="O70" s="512"/>
      <c r="P70" s="512"/>
      <c r="Q70" s="512"/>
      <c r="R70" s="512"/>
      <c r="S70" s="791"/>
      <c r="T70" s="368"/>
      <c r="AL70" s="786"/>
    </row>
    <row r="71" spans="1:38">
      <c r="A71" s="615"/>
      <c r="B71" s="512"/>
      <c r="C71" s="512"/>
      <c r="D71" s="512"/>
      <c r="E71" s="512"/>
      <c r="F71" s="512"/>
      <c r="G71" s="512"/>
      <c r="H71" s="512"/>
      <c r="I71" s="512"/>
      <c r="J71" s="512"/>
      <c r="K71" s="512"/>
      <c r="L71" s="512"/>
      <c r="M71" s="512"/>
      <c r="N71" s="512"/>
      <c r="O71" s="512"/>
      <c r="P71" s="512"/>
      <c r="S71" s="791"/>
      <c r="T71" s="368"/>
      <c r="AL71" s="786"/>
    </row>
    <row r="72" spans="1:38">
      <c r="A72" s="615"/>
      <c r="B72" s="512"/>
      <c r="C72" s="512"/>
      <c r="D72" s="512"/>
      <c r="E72" s="512"/>
      <c r="F72" s="512"/>
      <c r="G72" s="512"/>
      <c r="H72" s="512"/>
      <c r="I72" s="512"/>
      <c r="J72" s="512"/>
      <c r="K72" s="512"/>
      <c r="L72" s="512"/>
      <c r="M72" s="512"/>
      <c r="N72" s="512"/>
      <c r="O72" s="512"/>
      <c r="P72" s="512"/>
      <c r="Q72" s="512"/>
      <c r="R72" s="512"/>
      <c r="S72" s="791"/>
      <c r="T72" s="368"/>
      <c r="AL72" s="786"/>
    </row>
    <row r="73" spans="1:38">
      <c r="A73" s="616"/>
      <c r="B73" s="513"/>
      <c r="C73" s="513"/>
      <c r="D73" s="513"/>
      <c r="E73" s="513"/>
      <c r="F73" s="513"/>
      <c r="G73" s="513"/>
      <c r="H73" s="513"/>
      <c r="I73" s="513"/>
      <c r="J73" s="513"/>
      <c r="K73" s="513"/>
      <c r="L73" s="513"/>
      <c r="M73" s="513"/>
      <c r="N73" s="513"/>
      <c r="O73" s="513"/>
      <c r="P73" s="513"/>
      <c r="Q73" s="513"/>
      <c r="R73" s="513"/>
      <c r="S73" s="792"/>
      <c r="T73" s="787"/>
      <c r="U73" s="592"/>
      <c r="V73" s="592"/>
      <c r="W73" s="592"/>
      <c r="X73" s="592"/>
      <c r="Y73" s="592"/>
      <c r="Z73" s="592"/>
      <c r="AA73" s="592"/>
      <c r="AB73" s="592"/>
      <c r="AC73" s="592"/>
      <c r="AD73" s="592"/>
      <c r="AE73" s="592"/>
      <c r="AF73" s="592"/>
      <c r="AG73" s="592"/>
      <c r="AH73" s="592"/>
      <c r="AI73" s="592"/>
      <c r="AJ73" s="592"/>
      <c r="AK73" s="592"/>
      <c r="AL73" s="788"/>
    </row>
  </sheetData>
  <sheetProtection algorithmName="SHA-512" hashValue="6hXn/661bk0KY7NhuAtmSMhz2M9rkCrIrgu77Jcy4ubXCpA+3/r4+atrQp8sxdbg4CYovMD5z8u45iGSA6zFdQ==" saltValue="Vl9EUMYCkppAgH+530acYA==" spinCount="100000" sheet="1" scenarios="1" insertHyperlinks="0"/>
  <mergeCells count="1">
    <mergeCell ref="A1:S1"/>
  </mergeCells>
  <phoneticPr fontId="0" type="noConversion"/>
  <hyperlinks>
    <hyperlink ref="R3" location="'Cover Sheet'!A1" display="BACK TO COVER SHEET" xr:uid="{8289DE6B-BBD6-48DA-BFC0-F353A6B51271}"/>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FD11-37EF-4968-BF5F-D43F08C60871}">
  <sheetPr codeName="Tabelle6"/>
  <dimension ref="A1:AL73"/>
  <sheetViews>
    <sheetView showGridLines="0" view="pageBreakPreview" zoomScaleNormal="100" zoomScaleSheetLayoutView="100" workbookViewId="0">
      <selection sqref="A1:S1"/>
    </sheetView>
  </sheetViews>
  <sheetFormatPr baseColWidth="10" defaultColWidth="11.46484375" defaultRowHeight="12.75"/>
  <cols>
    <col min="1" max="21" width="5" customWidth="1"/>
    <col min="22" max="22" width="6.33203125" customWidth="1"/>
    <col min="23" max="38" width="5" customWidth="1"/>
  </cols>
  <sheetData>
    <row r="1" spans="1:38" ht="13.15">
      <c r="A1" s="1194" t="s">
        <v>755</v>
      </c>
      <c r="B1" s="1195"/>
      <c r="C1" s="1195"/>
      <c r="D1" s="1195"/>
      <c r="E1" s="1195"/>
      <c r="F1" s="1195"/>
      <c r="G1" s="1195"/>
      <c r="H1" s="1195"/>
      <c r="I1" s="1195"/>
      <c r="J1" s="1195"/>
      <c r="K1" s="1195"/>
      <c r="L1" s="1195"/>
      <c r="M1" s="1195"/>
      <c r="N1" s="1195"/>
      <c r="O1" s="1195"/>
      <c r="P1" s="1195"/>
      <c r="Q1" s="1195"/>
      <c r="R1" s="1195"/>
      <c r="S1" s="1196"/>
      <c r="T1" s="58"/>
      <c r="U1" s="2"/>
      <c r="V1" s="2"/>
      <c r="W1" s="2"/>
      <c r="X1" s="2"/>
      <c r="Y1" s="2"/>
      <c r="Z1" s="2"/>
      <c r="AA1" s="2"/>
      <c r="AB1" s="2"/>
      <c r="AC1" s="2"/>
      <c r="AD1" s="2"/>
      <c r="AE1" s="2"/>
      <c r="AF1" s="2"/>
      <c r="AG1" s="2"/>
      <c r="AH1" s="2"/>
      <c r="AI1" s="2"/>
      <c r="AJ1" s="2"/>
      <c r="AK1" s="2"/>
      <c r="AL1" s="136"/>
    </row>
    <row r="2" spans="1:38">
      <c r="A2" s="228"/>
      <c r="B2" s="229"/>
      <c r="C2" s="229"/>
      <c r="D2" s="229"/>
      <c r="E2" s="229"/>
      <c r="F2" s="229"/>
      <c r="G2" s="229"/>
      <c r="H2" s="229"/>
      <c r="I2" s="229"/>
      <c r="J2" s="229"/>
      <c r="K2" s="229"/>
      <c r="L2" s="229"/>
      <c r="M2" s="229"/>
      <c r="N2" s="229"/>
      <c r="O2" s="229"/>
      <c r="P2" s="229"/>
      <c r="Q2" s="229"/>
      <c r="R2" s="229"/>
      <c r="S2" s="230"/>
      <c r="T2" s="4"/>
      <c r="AL2" s="15"/>
    </row>
    <row r="3" spans="1:38">
      <c r="A3" s="171"/>
      <c r="B3" s="170" t="s">
        <v>756</v>
      </c>
      <c r="C3" s="170"/>
      <c r="D3" s="170"/>
      <c r="E3" s="170"/>
      <c r="F3" s="170"/>
      <c r="G3" s="170"/>
      <c r="H3" s="170"/>
      <c r="I3" s="170"/>
      <c r="J3" s="170"/>
      <c r="K3" s="170"/>
      <c r="L3" s="170"/>
      <c r="M3" s="170"/>
      <c r="N3" s="170"/>
      <c r="O3" s="170"/>
      <c r="P3" s="170"/>
      <c r="R3" s="794" t="s">
        <v>757</v>
      </c>
      <c r="S3" s="172"/>
      <c r="T3" s="4"/>
      <c r="AL3" s="15"/>
    </row>
    <row r="4" spans="1:38">
      <c r="A4" s="171"/>
      <c r="C4" s="170"/>
      <c r="D4" s="170"/>
      <c r="E4" s="170"/>
      <c r="F4" s="170"/>
      <c r="G4" s="170"/>
      <c r="H4" s="170"/>
      <c r="I4" s="170"/>
      <c r="J4" s="170"/>
      <c r="K4" s="170"/>
      <c r="L4" s="170"/>
      <c r="M4" s="170"/>
      <c r="N4" s="170"/>
      <c r="O4" s="170"/>
      <c r="P4" s="170"/>
      <c r="Q4" s="170"/>
      <c r="R4" s="170"/>
      <c r="S4" s="172"/>
      <c r="T4" s="4"/>
      <c r="AL4" s="15"/>
    </row>
    <row r="5" spans="1:38">
      <c r="A5" s="171"/>
      <c r="B5" t="s">
        <v>758</v>
      </c>
      <c r="C5" s="170"/>
      <c r="D5" s="170"/>
      <c r="E5" s="170"/>
      <c r="F5" s="170"/>
      <c r="G5" s="170"/>
      <c r="H5" s="170"/>
      <c r="I5" s="170"/>
      <c r="J5" s="170"/>
      <c r="K5" s="170"/>
      <c r="L5" s="170"/>
      <c r="M5" s="170"/>
      <c r="N5" s="170"/>
      <c r="O5" s="170"/>
      <c r="P5" s="170"/>
      <c r="Q5" s="170"/>
      <c r="R5" s="170"/>
      <c r="S5" s="172"/>
      <c r="T5" s="4"/>
      <c r="AL5" s="15"/>
    </row>
    <row r="6" spans="1:38">
      <c r="A6" s="171"/>
      <c r="B6" s="170" t="s">
        <v>759</v>
      </c>
      <c r="C6" s="170"/>
      <c r="D6" s="170"/>
      <c r="E6" s="170"/>
      <c r="F6" s="170"/>
      <c r="G6" s="170"/>
      <c r="H6" s="170"/>
      <c r="I6" s="170"/>
      <c r="J6" s="170"/>
      <c r="K6" s="170"/>
      <c r="L6" s="170"/>
      <c r="M6" s="170"/>
      <c r="N6" s="170"/>
      <c r="O6" s="170"/>
      <c r="P6" s="170"/>
      <c r="Q6" s="170"/>
      <c r="R6" s="170"/>
      <c r="S6" s="172"/>
      <c r="T6" s="4"/>
      <c r="AL6" s="15"/>
    </row>
    <row r="7" spans="1:38">
      <c r="A7" s="171"/>
      <c r="B7" t="s">
        <v>760</v>
      </c>
      <c r="C7" s="170"/>
      <c r="D7" s="170"/>
      <c r="E7" s="170"/>
      <c r="F7" s="170"/>
      <c r="G7" s="170"/>
      <c r="H7" s="170"/>
      <c r="I7" s="170"/>
      <c r="J7" s="170"/>
      <c r="K7" s="170"/>
      <c r="L7" s="170"/>
      <c r="M7" s="170"/>
      <c r="N7" s="170"/>
      <c r="O7" s="170"/>
      <c r="P7" s="170"/>
      <c r="Q7" s="170"/>
      <c r="R7" s="170"/>
      <c r="S7" s="172"/>
      <c r="T7" s="4"/>
      <c r="AL7" s="15"/>
    </row>
    <row r="8" spans="1:38">
      <c r="A8" s="171"/>
      <c r="C8" s="170"/>
      <c r="D8" s="170"/>
      <c r="E8" s="170"/>
      <c r="F8" s="170"/>
      <c r="G8" s="170"/>
      <c r="H8" s="170"/>
      <c r="I8" s="170"/>
      <c r="J8" s="170"/>
      <c r="K8" s="170"/>
      <c r="L8" s="170"/>
      <c r="M8" s="170"/>
      <c r="N8" s="170"/>
      <c r="O8" s="170"/>
      <c r="P8" s="170"/>
      <c r="Q8" s="170"/>
      <c r="R8" s="170"/>
      <c r="S8" s="172"/>
      <c r="T8" s="4"/>
      <c r="AL8" s="15"/>
    </row>
    <row r="9" spans="1:38">
      <c r="A9" s="171"/>
      <c r="B9" t="s">
        <v>761</v>
      </c>
      <c r="C9" s="170"/>
      <c r="D9" s="170"/>
      <c r="E9" s="170"/>
      <c r="F9" s="170"/>
      <c r="G9" s="170"/>
      <c r="H9" s="170"/>
      <c r="I9" s="170"/>
      <c r="J9" s="170"/>
      <c r="K9" s="170"/>
      <c r="L9" s="170"/>
      <c r="M9" s="170"/>
      <c r="N9" s="170"/>
      <c r="O9" s="170"/>
      <c r="P9" s="170"/>
      <c r="Q9" s="170"/>
      <c r="R9" s="170"/>
      <c r="S9" s="172"/>
      <c r="T9" s="4"/>
      <c r="AL9" s="15"/>
    </row>
    <row r="10" spans="1:38">
      <c r="A10" s="171"/>
      <c r="B10" s="170" t="s">
        <v>762</v>
      </c>
      <c r="C10" s="170"/>
      <c r="D10" s="170"/>
      <c r="E10" s="170"/>
      <c r="F10" s="170"/>
      <c r="G10" s="170"/>
      <c r="H10" s="170"/>
      <c r="I10" s="170"/>
      <c r="J10" s="170"/>
      <c r="K10" s="170"/>
      <c r="L10" s="170"/>
      <c r="M10" s="170"/>
      <c r="N10" s="170"/>
      <c r="O10" s="170"/>
      <c r="P10" s="170"/>
      <c r="Q10" s="170"/>
      <c r="R10" s="170"/>
      <c r="S10" s="172"/>
      <c r="T10" s="4"/>
      <c r="AL10" s="15"/>
    </row>
    <row r="11" spans="1:38">
      <c r="A11" s="171"/>
      <c r="B11" t="s">
        <v>763</v>
      </c>
      <c r="C11" s="170"/>
      <c r="D11" s="170"/>
      <c r="E11" s="170"/>
      <c r="F11" s="170"/>
      <c r="G11" s="170"/>
      <c r="H11" s="170"/>
      <c r="I11" s="170"/>
      <c r="J11" s="170"/>
      <c r="K11" s="170"/>
      <c r="L11" s="170"/>
      <c r="M11" s="170"/>
      <c r="N11" s="170"/>
      <c r="O11" s="170"/>
      <c r="P11" s="170"/>
      <c r="Q11" s="170"/>
      <c r="R11" s="170"/>
      <c r="S11" s="172"/>
      <c r="T11" s="4"/>
      <c r="AL11" s="15"/>
    </row>
    <row r="12" spans="1:38">
      <c r="A12" s="171"/>
      <c r="B12" s="170" t="s">
        <v>764</v>
      </c>
      <c r="C12" s="170"/>
      <c r="D12" s="170"/>
      <c r="E12" s="170"/>
      <c r="F12" s="170"/>
      <c r="G12" s="170"/>
      <c r="H12" s="170"/>
      <c r="I12" s="170"/>
      <c r="J12" s="170"/>
      <c r="K12" s="170"/>
      <c r="L12" s="170"/>
      <c r="M12" s="170"/>
      <c r="N12" s="170"/>
      <c r="O12" s="170"/>
      <c r="P12" s="170"/>
      <c r="Q12" s="170"/>
      <c r="R12" s="170"/>
      <c r="S12" s="172"/>
      <c r="T12" s="4"/>
      <c r="AL12" s="15"/>
    </row>
    <row r="13" spans="1:38">
      <c r="A13" s="171"/>
      <c r="B13" s="170" t="s">
        <v>765</v>
      </c>
      <c r="C13" s="170"/>
      <c r="D13" s="170"/>
      <c r="E13" s="170"/>
      <c r="F13" s="170"/>
      <c r="G13" s="170"/>
      <c r="H13" s="170"/>
      <c r="I13" s="170"/>
      <c r="J13" s="170"/>
      <c r="K13" s="170"/>
      <c r="L13" s="170"/>
      <c r="M13" s="170"/>
      <c r="N13" s="170"/>
      <c r="O13" s="170"/>
      <c r="P13" s="170"/>
      <c r="Q13" s="170"/>
      <c r="R13" s="170"/>
      <c r="S13" s="172"/>
      <c r="T13" s="4"/>
      <c r="AL13" s="15"/>
    </row>
    <row r="14" spans="1:38">
      <c r="A14" s="171"/>
      <c r="B14" s="170" t="s">
        <v>766</v>
      </c>
      <c r="C14" s="170"/>
      <c r="D14" s="170"/>
      <c r="E14" s="170"/>
      <c r="F14" s="170"/>
      <c r="G14" s="170"/>
      <c r="H14" s="170"/>
      <c r="I14" s="170"/>
      <c r="J14" s="170"/>
      <c r="K14" s="170"/>
      <c r="L14" s="170"/>
      <c r="M14" s="170"/>
      <c r="N14" s="170"/>
      <c r="O14" s="170"/>
      <c r="P14" s="170"/>
      <c r="Q14" s="170"/>
      <c r="R14" s="170"/>
      <c r="S14" s="172"/>
      <c r="T14" s="4"/>
      <c r="AL14" s="15"/>
    </row>
    <row r="15" spans="1:38">
      <c r="A15" s="171"/>
      <c r="B15" s="170"/>
      <c r="C15" s="170"/>
      <c r="D15" s="170"/>
      <c r="E15" s="170"/>
      <c r="F15" s="170"/>
      <c r="G15" s="170"/>
      <c r="H15" s="170"/>
      <c r="I15" s="170"/>
      <c r="J15" s="170"/>
      <c r="K15" s="170"/>
      <c r="L15" s="170"/>
      <c r="M15" s="170"/>
      <c r="N15" s="170"/>
      <c r="O15" s="170"/>
      <c r="P15" s="170"/>
      <c r="Q15" s="170"/>
      <c r="R15" s="170"/>
      <c r="S15" s="172"/>
      <c r="T15" s="4"/>
      <c r="AL15" s="15"/>
    </row>
    <row r="16" spans="1:38">
      <c r="A16" s="171"/>
      <c r="B16" s="170" t="s">
        <v>753</v>
      </c>
      <c r="C16" s="170"/>
      <c r="D16" s="170"/>
      <c r="E16" s="170"/>
      <c r="F16" s="170"/>
      <c r="G16" s="170"/>
      <c r="H16" s="170"/>
      <c r="I16" s="170"/>
      <c r="J16" s="170"/>
      <c r="K16" s="170"/>
      <c r="L16" s="170"/>
      <c r="M16" s="170"/>
      <c r="N16" s="170"/>
      <c r="O16" s="170"/>
      <c r="P16" s="170"/>
      <c r="Q16" s="170"/>
      <c r="R16" s="170"/>
      <c r="S16" s="172"/>
      <c r="T16" s="4"/>
      <c r="AL16" s="15"/>
    </row>
    <row r="17" spans="1:38">
      <c r="A17" s="171"/>
      <c r="C17" s="170"/>
      <c r="D17" s="170"/>
      <c r="E17" s="170"/>
      <c r="F17" s="170"/>
      <c r="G17" s="170"/>
      <c r="H17" s="170"/>
      <c r="I17" s="170"/>
      <c r="J17" s="170"/>
      <c r="K17" s="170"/>
      <c r="L17" s="170"/>
      <c r="M17" s="170"/>
      <c r="N17" s="170"/>
      <c r="O17" s="170"/>
      <c r="P17" s="170"/>
      <c r="Q17" s="170"/>
      <c r="R17" s="170"/>
      <c r="S17" s="172"/>
      <c r="T17" s="4"/>
      <c r="AL17" s="15"/>
    </row>
    <row r="18" spans="1:38">
      <c r="A18" s="171"/>
      <c r="C18" s="170"/>
      <c r="D18" s="170"/>
      <c r="E18" s="170"/>
      <c r="F18" s="170"/>
      <c r="G18" s="170"/>
      <c r="H18" s="170"/>
      <c r="I18" s="170"/>
      <c r="J18" s="170"/>
      <c r="K18" s="170"/>
      <c r="L18" s="170"/>
      <c r="M18" s="170"/>
      <c r="N18" s="170"/>
      <c r="O18" s="170"/>
      <c r="P18" s="170"/>
      <c r="Q18" s="170"/>
      <c r="R18" s="170"/>
      <c r="S18" s="172"/>
      <c r="T18" s="4"/>
      <c r="U18" s="170" t="s">
        <v>767</v>
      </c>
      <c r="AL18" s="15"/>
    </row>
    <row r="19" spans="1:38">
      <c r="A19" s="171"/>
      <c r="C19" s="170"/>
      <c r="D19" s="170"/>
      <c r="E19" s="170"/>
      <c r="F19" s="170"/>
      <c r="G19" s="170"/>
      <c r="H19" s="170"/>
      <c r="I19" s="170"/>
      <c r="J19" s="170"/>
      <c r="K19" s="170"/>
      <c r="L19" s="170"/>
      <c r="M19" s="170"/>
      <c r="N19" s="170"/>
      <c r="O19" s="170"/>
      <c r="P19" s="170"/>
      <c r="Q19" s="170"/>
      <c r="R19" s="170"/>
      <c r="S19" s="172"/>
      <c r="T19" s="4"/>
      <c r="AL19" s="15"/>
    </row>
    <row r="20" spans="1:38">
      <c r="A20" s="171"/>
      <c r="B20" s="170"/>
      <c r="C20" s="170"/>
      <c r="D20" s="170"/>
      <c r="E20" s="170"/>
      <c r="F20" s="170"/>
      <c r="G20" s="170"/>
      <c r="H20" s="170"/>
      <c r="I20" s="170"/>
      <c r="J20" s="170"/>
      <c r="K20" s="170"/>
      <c r="L20" s="170"/>
      <c r="M20" s="170"/>
      <c r="N20" s="170"/>
      <c r="O20" s="170"/>
      <c r="P20" s="170"/>
      <c r="Q20" s="170"/>
      <c r="R20" s="170"/>
      <c r="S20" s="172"/>
      <c r="T20" s="4"/>
      <c r="AL20" s="15"/>
    </row>
    <row r="21" spans="1:38">
      <c r="A21" s="171"/>
      <c r="B21" s="170"/>
      <c r="C21" s="170"/>
      <c r="D21" s="170"/>
      <c r="E21" s="170"/>
      <c r="F21" s="170"/>
      <c r="G21" s="170"/>
      <c r="H21" s="170"/>
      <c r="I21" s="170"/>
      <c r="J21" s="170"/>
      <c r="K21" s="170"/>
      <c r="L21" s="170"/>
      <c r="M21" s="170"/>
      <c r="N21" s="170"/>
      <c r="O21" s="170"/>
      <c r="P21" s="170"/>
      <c r="Q21" s="170"/>
      <c r="R21" s="170"/>
      <c r="S21" s="172"/>
      <c r="T21" s="4"/>
      <c r="AL21" s="15"/>
    </row>
    <row r="22" spans="1:38">
      <c r="A22" s="171"/>
      <c r="B22" s="170"/>
      <c r="C22" s="170"/>
      <c r="D22" s="170"/>
      <c r="E22" s="170"/>
      <c r="F22" s="170"/>
      <c r="G22" s="170"/>
      <c r="H22" s="170"/>
      <c r="I22" s="170"/>
      <c r="J22" s="170"/>
      <c r="K22" s="170"/>
      <c r="L22" s="170"/>
      <c r="M22" s="170"/>
      <c r="N22" s="170"/>
      <c r="O22" s="170"/>
      <c r="P22" s="170"/>
      <c r="Q22" s="170"/>
      <c r="R22" s="170"/>
      <c r="S22" s="172"/>
      <c r="T22" s="4"/>
      <c r="AL22" s="15"/>
    </row>
    <row r="23" spans="1:38">
      <c r="A23" s="171"/>
      <c r="B23" s="793"/>
      <c r="C23" s="170"/>
      <c r="D23" s="170"/>
      <c r="E23" s="170"/>
      <c r="F23" s="170"/>
      <c r="G23" s="170"/>
      <c r="H23" s="170"/>
      <c r="I23" s="170"/>
      <c r="J23" s="170"/>
      <c r="K23" s="170"/>
      <c r="L23" s="170"/>
      <c r="M23" s="170"/>
      <c r="N23" s="170"/>
      <c r="O23" s="170"/>
      <c r="P23" s="170"/>
      <c r="Q23" s="170"/>
      <c r="R23" s="170"/>
      <c r="S23" s="172"/>
      <c r="T23" s="4"/>
      <c r="AL23" s="15"/>
    </row>
    <row r="24" spans="1:38">
      <c r="A24" s="171"/>
      <c r="C24" s="170"/>
      <c r="D24" s="170"/>
      <c r="E24" s="170"/>
      <c r="F24" s="170"/>
      <c r="G24" s="170"/>
      <c r="H24" s="170"/>
      <c r="I24" s="170"/>
      <c r="J24" s="170"/>
      <c r="K24" s="170"/>
      <c r="L24" s="170"/>
      <c r="M24" s="170"/>
      <c r="N24" s="170"/>
      <c r="O24" s="170"/>
      <c r="P24" s="170"/>
      <c r="Q24" s="170"/>
      <c r="R24" s="170"/>
      <c r="S24" s="172"/>
      <c r="T24" s="4"/>
      <c r="AL24" s="15"/>
    </row>
    <row r="25" spans="1:38">
      <c r="A25" s="171"/>
      <c r="B25" s="793"/>
      <c r="C25" s="170"/>
      <c r="D25" s="170"/>
      <c r="E25" s="170"/>
      <c r="F25" s="170"/>
      <c r="G25" s="170"/>
      <c r="H25" s="170"/>
      <c r="I25" s="170"/>
      <c r="J25" s="170"/>
      <c r="K25" s="170"/>
      <c r="L25" s="170"/>
      <c r="M25" s="170"/>
      <c r="N25" s="170"/>
      <c r="O25" s="170"/>
      <c r="P25" s="170"/>
      <c r="Q25" s="170"/>
      <c r="R25" s="170"/>
      <c r="S25" s="172"/>
      <c r="T25" s="4"/>
      <c r="AL25" s="15"/>
    </row>
    <row r="26" spans="1:38">
      <c r="A26" s="171"/>
      <c r="C26" s="170"/>
      <c r="D26" s="170"/>
      <c r="E26" s="170"/>
      <c r="F26" s="170"/>
      <c r="G26" s="170"/>
      <c r="H26" s="170"/>
      <c r="I26" s="170"/>
      <c r="J26" s="170"/>
      <c r="K26" s="170"/>
      <c r="L26" s="170"/>
      <c r="M26" s="170"/>
      <c r="N26" s="170"/>
      <c r="O26" s="170"/>
      <c r="P26" s="170"/>
      <c r="Q26" s="170"/>
      <c r="R26" s="170"/>
      <c r="S26" s="172"/>
      <c r="T26" s="4"/>
      <c r="AL26" s="15"/>
    </row>
    <row r="27" spans="1:38">
      <c r="A27" s="171"/>
      <c r="B27" s="793"/>
      <c r="C27" s="170"/>
      <c r="D27" s="170"/>
      <c r="E27" s="170"/>
      <c r="F27" s="170"/>
      <c r="G27" s="170"/>
      <c r="H27" s="170"/>
      <c r="I27" s="170"/>
      <c r="J27" s="170"/>
      <c r="K27" s="170"/>
      <c r="L27" s="170"/>
      <c r="M27" s="170"/>
      <c r="N27" s="170"/>
      <c r="O27" s="170"/>
      <c r="P27" s="170"/>
      <c r="Q27" s="170"/>
      <c r="R27" s="170"/>
      <c r="S27" s="172"/>
      <c r="T27" s="4"/>
      <c r="AL27" s="15"/>
    </row>
    <row r="28" spans="1:38">
      <c r="A28" s="171"/>
      <c r="C28" s="170"/>
      <c r="D28" s="170"/>
      <c r="E28" s="170"/>
      <c r="F28" s="170"/>
      <c r="G28" s="170"/>
      <c r="H28" s="170"/>
      <c r="I28" s="170"/>
      <c r="J28" s="170"/>
      <c r="K28" s="170"/>
      <c r="L28" s="170"/>
      <c r="M28" s="170"/>
      <c r="N28" s="170"/>
      <c r="O28" s="170"/>
      <c r="P28" s="170"/>
      <c r="Q28" s="170"/>
      <c r="R28" s="170"/>
      <c r="S28" s="172"/>
      <c r="T28" s="4"/>
      <c r="AL28" s="15"/>
    </row>
    <row r="29" spans="1:38">
      <c r="A29" s="171"/>
      <c r="B29" s="170"/>
      <c r="C29" s="170"/>
      <c r="D29" s="170"/>
      <c r="E29" s="170"/>
      <c r="F29" s="170"/>
      <c r="G29" s="170"/>
      <c r="H29" s="170"/>
      <c r="I29" s="170"/>
      <c r="J29" s="170"/>
      <c r="K29" s="170"/>
      <c r="L29" s="170"/>
      <c r="M29" s="170"/>
      <c r="N29" s="170"/>
      <c r="O29" s="170"/>
      <c r="P29" s="170"/>
      <c r="Q29" s="170"/>
      <c r="R29" s="170"/>
      <c r="S29" s="172"/>
      <c r="T29" s="4"/>
      <c r="AL29" s="15"/>
    </row>
    <row r="30" spans="1:38">
      <c r="A30" s="171"/>
      <c r="B30" s="170"/>
      <c r="C30" s="170"/>
      <c r="D30" s="170"/>
      <c r="E30" s="170"/>
      <c r="F30" s="170"/>
      <c r="G30" s="170"/>
      <c r="H30" s="170"/>
      <c r="I30" s="170"/>
      <c r="J30" s="170"/>
      <c r="K30" s="170"/>
      <c r="L30" s="170"/>
      <c r="M30" s="170"/>
      <c r="N30" s="170"/>
      <c r="O30" s="170"/>
      <c r="P30" s="170"/>
      <c r="Q30" s="170"/>
      <c r="R30" s="170"/>
      <c r="S30" s="172"/>
      <c r="T30" s="4"/>
      <c r="AL30" s="15"/>
    </row>
    <row r="31" spans="1:38">
      <c r="A31" s="171"/>
      <c r="B31" s="170"/>
      <c r="C31" s="170"/>
      <c r="D31" s="170"/>
      <c r="E31" s="170"/>
      <c r="F31" s="170"/>
      <c r="G31" s="170"/>
      <c r="H31" s="170"/>
      <c r="I31" s="170"/>
      <c r="J31" s="170"/>
      <c r="K31" s="170"/>
      <c r="L31" s="170"/>
      <c r="M31" s="170"/>
      <c r="N31" s="170"/>
      <c r="O31" s="170"/>
      <c r="P31" s="170"/>
      <c r="Q31" s="170"/>
      <c r="R31" s="170"/>
      <c r="S31" s="172"/>
      <c r="T31" s="4"/>
      <c r="AL31" s="15"/>
    </row>
    <row r="32" spans="1:38">
      <c r="A32" s="171"/>
      <c r="B32" s="170" t="s">
        <v>767</v>
      </c>
      <c r="C32" s="170"/>
      <c r="D32" s="170"/>
      <c r="E32" s="170"/>
      <c r="F32" s="170"/>
      <c r="G32" s="170"/>
      <c r="H32" s="170"/>
      <c r="I32" s="170"/>
      <c r="J32" s="170"/>
      <c r="K32" s="170"/>
      <c r="L32" s="170"/>
      <c r="M32" s="170"/>
      <c r="N32" s="170"/>
      <c r="O32" s="170"/>
      <c r="P32" s="170"/>
      <c r="Q32" s="170"/>
      <c r="R32" s="170"/>
      <c r="S32" s="172"/>
      <c r="T32" s="4"/>
      <c r="AL32" s="15"/>
    </row>
    <row r="33" spans="1:38">
      <c r="A33" s="171"/>
      <c r="B33" s="170"/>
      <c r="C33" s="170"/>
      <c r="D33" s="170"/>
      <c r="E33" s="170"/>
      <c r="F33" s="170"/>
      <c r="G33" s="170"/>
      <c r="H33" s="170"/>
      <c r="I33" s="170"/>
      <c r="J33" s="170"/>
      <c r="K33" s="170"/>
      <c r="L33" s="170"/>
      <c r="M33" s="170"/>
      <c r="N33" s="170"/>
      <c r="O33" s="170"/>
      <c r="P33" s="170"/>
      <c r="Q33" s="170"/>
      <c r="R33" s="170"/>
      <c r="S33" s="172"/>
      <c r="T33" s="4"/>
      <c r="AL33" s="15"/>
    </row>
    <row r="34" spans="1:38">
      <c r="A34" s="171"/>
      <c r="B34" s="170"/>
      <c r="C34" s="170"/>
      <c r="D34" s="170"/>
      <c r="E34" s="170"/>
      <c r="F34" s="170"/>
      <c r="G34" s="170"/>
      <c r="H34" s="170"/>
      <c r="I34" s="170"/>
      <c r="J34" s="170"/>
      <c r="K34" s="170"/>
      <c r="L34" s="170"/>
      <c r="M34" s="170"/>
      <c r="N34" s="170"/>
      <c r="O34" s="170"/>
      <c r="P34" s="170"/>
      <c r="Q34" s="170"/>
      <c r="R34" s="170"/>
      <c r="S34" s="172"/>
      <c r="T34" s="4"/>
      <c r="AL34" s="15"/>
    </row>
    <row r="35" spans="1:38">
      <c r="A35" s="171"/>
      <c r="B35" s="170"/>
      <c r="C35" s="170"/>
      <c r="D35" s="170"/>
      <c r="E35" s="170"/>
      <c r="F35" s="170"/>
      <c r="G35" s="170"/>
      <c r="H35" s="170"/>
      <c r="I35" s="170"/>
      <c r="J35" s="170"/>
      <c r="K35" s="170"/>
      <c r="L35" s="170"/>
      <c r="M35" s="170"/>
      <c r="N35" s="170"/>
      <c r="O35" s="170"/>
      <c r="P35" s="170"/>
      <c r="Q35" s="170"/>
      <c r="R35" s="170"/>
      <c r="S35" s="172"/>
      <c r="T35" s="4"/>
      <c r="AL35" s="15"/>
    </row>
    <row r="36" spans="1:38">
      <c r="A36" s="171"/>
      <c r="B36" s="170"/>
      <c r="C36" s="170"/>
      <c r="D36" s="170"/>
      <c r="E36" s="170"/>
      <c r="F36" s="170"/>
      <c r="G36" s="170"/>
      <c r="H36" s="170"/>
      <c r="I36" s="170"/>
      <c r="J36" s="170"/>
      <c r="K36" s="170"/>
      <c r="L36" s="170"/>
      <c r="M36" s="170"/>
      <c r="N36" s="170"/>
      <c r="O36" s="170"/>
      <c r="P36" s="170"/>
      <c r="Q36" s="170"/>
      <c r="R36" s="170"/>
      <c r="S36" s="172"/>
      <c r="T36" s="4"/>
      <c r="AL36" s="15"/>
    </row>
    <row r="37" spans="1:38">
      <c r="A37" s="171"/>
      <c r="B37" s="170"/>
      <c r="C37" s="170"/>
      <c r="D37" s="170"/>
      <c r="E37" s="170"/>
      <c r="F37" s="170"/>
      <c r="G37" s="170"/>
      <c r="H37" s="170"/>
      <c r="I37" s="170"/>
      <c r="J37" s="170"/>
      <c r="K37" s="170"/>
      <c r="L37" s="170"/>
      <c r="M37" s="170"/>
      <c r="N37" s="170"/>
      <c r="O37" s="170"/>
      <c r="P37" s="170"/>
      <c r="Q37" s="170"/>
      <c r="R37" s="170"/>
      <c r="S37" s="172"/>
      <c r="T37" s="4"/>
      <c r="AL37" s="15"/>
    </row>
    <row r="38" spans="1:38">
      <c r="A38" s="171"/>
      <c r="B38" s="170"/>
      <c r="C38" s="170"/>
      <c r="D38" s="170"/>
      <c r="E38" s="170"/>
      <c r="F38" s="170"/>
      <c r="G38" s="170"/>
      <c r="H38" s="170"/>
      <c r="I38" s="170"/>
      <c r="J38" s="170"/>
      <c r="K38" s="170"/>
      <c r="L38" s="170"/>
      <c r="M38" s="170"/>
      <c r="N38" s="170"/>
      <c r="O38" s="170"/>
      <c r="P38" s="170"/>
      <c r="Q38" s="170"/>
      <c r="R38" s="170"/>
      <c r="S38" s="172"/>
      <c r="T38" s="4"/>
      <c r="AL38" s="15"/>
    </row>
    <row r="39" spans="1:38">
      <c r="A39" s="171"/>
      <c r="B39" s="170"/>
      <c r="C39" s="170"/>
      <c r="D39" s="170"/>
      <c r="E39" s="170"/>
      <c r="F39" s="170"/>
      <c r="G39" s="170"/>
      <c r="H39" s="170"/>
      <c r="I39" s="170"/>
      <c r="J39" s="170"/>
      <c r="K39" s="170"/>
      <c r="L39" s="170"/>
      <c r="M39" s="170"/>
      <c r="N39" s="170"/>
      <c r="O39" s="170"/>
      <c r="P39" s="170"/>
      <c r="Q39" s="170"/>
      <c r="R39" s="170"/>
      <c r="S39" s="172"/>
      <c r="T39" s="4"/>
      <c r="AL39" s="15"/>
    </row>
    <row r="40" spans="1:38">
      <c r="A40" s="171"/>
      <c r="B40" s="170"/>
      <c r="C40" s="170"/>
      <c r="D40" s="170"/>
      <c r="E40" s="170"/>
      <c r="F40" s="170"/>
      <c r="G40" s="170"/>
      <c r="H40" s="170"/>
      <c r="I40" s="170"/>
      <c r="J40" s="170"/>
      <c r="K40" s="170"/>
      <c r="L40" s="170"/>
      <c r="M40" s="170"/>
      <c r="N40" s="170"/>
      <c r="O40" s="170"/>
      <c r="P40" s="170"/>
      <c r="Q40" s="170"/>
      <c r="R40" s="170"/>
      <c r="S40" s="172"/>
      <c r="T40" s="4"/>
      <c r="AL40" s="15"/>
    </row>
    <row r="41" spans="1:38">
      <c r="A41" s="171"/>
      <c r="B41" s="170"/>
      <c r="C41" s="170"/>
      <c r="D41" s="170"/>
      <c r="E41" s="170"/>
      <c r="F41" s="170"/>
      <c r="G41" s="170"/>
      <c r="H41" s="170"/>
      <c r="I41" s="170"/>
      <c r="J41" s="170"/>
      <c r="K41" s="170"/>
      <c r="L41" s="170"/>
      <c r="M41" s="170"/>
      <c r="N41" s="170"/>
      <c r="O41" s="170"/>
      <c r="P41" s="170"/>
      <c r="Q41" s="170"/>
      <c r="R41" s="170"/>
      <c r="S41" s="172"/>
      <c r="T41" s="4"/>
      <c r="AL41" s="15"/>
    </row>
    <row r="42" spans="1:38">
      <c r="A42" s="171"/>
      <c r="B42" s="170"/>
      <c r="C42" s="170"/>
      <c r="D42" s="170"/>
      <c r="E42" s="170"/>
      <c r="F42" s="170"/>
      <c r="G42" s="170"/>
      <c r="H42" s="170"/>
      <c r="I42" s="170"/>
      <c r="J42" s="170"/>
      <c r="K42" s="170"/>
      <c r="L42" s="170"/>
      <c r="M42" s="170"/>
      <c r="N42" s="170"/>
      <c r="O42" s="170"/>
      <c r="P42" s="170"/>
      <c r="Q42" s="170"/>
      <c r="R42" s="170"/>
      <c r="S42" s="172"/>
      <c r="T42" s="4"/>
      <c r="AL42" s="15"/>
    </row>
    <row r="43" spans="1:38">
      <c r="A43" s="171"/>
      <c r="B43" s="170"/>
      <c r="C43" s="170"/>
      <c r="D43" s="170"/>
      <c r="E43" s="170"/>
      <c r="F43" s="170"/>
      <c r="G43" s="170"/>
      <c r="H43" s="170"/>
      <c r="I43" s="170"/>
      <c r="J43" s="170"/>
      <c r="K43" s="170"/>
      <c r="L43" s="170"/>
      <c r="M43" s="170"/>
      <c r="N43" s="170"/>
      <c r="O43" s="170"/>
      <c r="P43" s="170"/>
      <c r="Q43" s="170"/>
      <c r="R43" s="170"/>
      <c r="S43" s="172"/>
      <c r="T43" s="4"/>
      <c r="AL43" s="15"/>
    </row>
    <row r="44" spans="1:38">
      <c r="A44" s="171"/>
      <c r="B44" s="170"/>
      <c r="C44" s="170"/>
      <c r="D44" s="170"/>
      <c r="E44" s="170"/>
      <c r="F44" s="170"/>
      <c r="G44" s="170"/>
      <c r="H44" s="170"/>
      <c r="I44" s="170"/>
      <c r="J44" s="170"/>
      <c r="K44" s="170"/>
      <c r="L44" s="170"/>
      <c r="M44" s="170"/>
      <c r="N44" s="170"/>
      <c r="O44" s="170"/>
      <c r="P44" s="170"/>
      <c r="Q44" s="170"/>
      <c r="R44" s="170"/>
      <c r="S44" s="172"/>
      <c r="T44" s="4"/>
      <c r="AL44" s="15"/>
    </row>
    <row r="45" spans="1:38">
      <c r="A45" s="171"/>
      <c r="B45" s="170"/>
      <c r="C45" s="170"/>
      <c r="D45" s="170"/>
      <c r="E45" s="170"/>
      <c r="F45" s="170"/>
      <c r="G45" s="170"/>
      <c r="H45" s="170"/>
      <c r="I45" s="170"/>
      <c r="J45" s="170"/>
      <c r="K45" s="170"/>
      <c r="L45" s="170"/>
      <c r="M45" s="170"/>
      <c r="N45" s="170"/>
      <c r="O45" s="170"/>
      <c r="P45" s="170"/>
      <c r="Q45" s="170"/>
      <c r="R45" s="170"/>
      <c r="S45" s="172"/>
      <c r="T45" s="4"/>
      <c r="V45" s="794"/>
      <c r="AL45" s="15"/>
    </row>
    <row r="46" spans="1:38">
      <c r="A46" s="171"/>
      <c r="B46" s="170"/>
      <c r="C46" s="170"/>
      <c r="D46" s="170"/>
      <c r="E46" s="170"/>
      <c r="F46" s="170"/>
      <c r="G46" s="170"/>
      <c r="H46" s="170"/>
      <c r="I46" s="170"/>
      <c r="J46" s="170"/>
      <c r="K46" s="170"/>
      <c r="L46" s="170"/>
      <c r="M46" s="170"/>
      <c r="N46" s="170"/>
      <c r="O46" s="170"/>
      <c r="P46" s="170"/>
      <c r="Q46" s="170"/>
      <c r="R46" s="170"/>
      <c r="S46" s="172"/>
      <c r="T46" s="4"/>
      <c r="AL46" s="15"/>
    </row>
    <row r="47" spans="1:38">
      <c r="A47" s="171"/>
      <c r="B47" s="170"/>
      <c r="C47" s="170"/>
      <c r="D47" s="170"/>
      <c r="E47" s="170"/>
      <c r="F47" s="170"/>
      <c r="G47" s="170"/>
      <c r="H47" s="170"/>
      <c r="I47" s="170"/>
      <c r="J47" s="170"/>
      <c r="K47" s="170"/>
      <c r="L47" s="170"/>
      <c r="M47" s="170"/>
      <c r="N47" s="170"/>
      <c r="O47" s="170"/>
      <c r="P47" s="170"/>
      <c r="Q47" s="170"/>
      <c r="R47" s="170"/>
      <c r="S47" s="172"/>
      <c r="T47" s="4"/>
      <c r="AL47" s="15"/>
    </row>
    <row r="48" spans="1:38">
      <c r="A48" s="171"/>
      <c r="C48" s="170"/>
      <c r="D48" s="170"/>
      <c r="E48" s="170"/>
      <c r="F48" s="170"/>
      <c r="G48" s="170"/>
      <c r="H48" s="170"/>
      <c r="I48" s="170"/>
      <c r="J48" s="170"/>
      <c r="K48" s="170"/>
      <c r="L48" s="170"/>
      <c r="M48" s="170"/>
      <c r="N48" s="170"/>
      <c r="O48" s="170"/>
      <c r="P48" s="170"/>
      <c r="Q48" s="170"/>
      <c r="R48" s="170"/>
      <c r="S48" s="172"/>
      <c r="T48" s="4"/>
      <c r="AL48" s="15"/>
    </row>
    <row r="49" spans="1:38">
      <c r="A49" s="171"/>
      <c r="B49" s="170"/>
      <c r="C49" s="170"/>
      <c r="D49" s="170"/>
      <c r="E49" s="170"/>
      <c r="F49" s="170"/>
      <c r="G49" s="170"/>
      <c r="H49" s="170"/>
      <c r="I49" s="170"/>
      <c r="J49" s="170"/>
      <c r="K49" s="170"/>
      <c r="L49" s="170"/>
      <c r="M49" s="170"/>
      <c r="N49" s="170"/>
      <c r="O49" s="170"/>
      <c r="P49" s="170"/>
      <c r="Q49" s="170"/>
      <c r="R49" s="170"/>
      <c r="S49" s="172"/>
      <c r="T49" s="4"/>
      <c r="AL49" s="15"/>
    </row>
    <row r="50" spans="1:38">
      <c r="A50" s="171"/>
      <c r="B50" s="170"/>
      <c r="C50" s="170"/>
      <c r="D50" s="170"/>
      <c r="E50" s="170"/>
      <c r="F50" s="170"/>
      <c r="G50" s="170"/>
      <c r="H50" s="170"/>
      <c r="I50" s="170"/>
      <c r="J50" s="170"/>
      <c r="K50" s="170"/>
      <c r="L50" s="170"/>
      <c r="M50" s="170"/>
      <c r="N50" s="170"/>
      <c r="O50" s="170"/>
      <c r="P50" s="170"/>
      <c r="Q50" s="170"/>
      <c r="R50" s="170"/>
      <c r="S50" s="172"/>
      <c r="T50" s="4"/>
      <c r="AL50" s="15"/>
    </row>
    <row r="51" spans="1:38">
      <c r="A51" s="171"/>
      <c r="B51" s="170"/>
      <c r="C51" s="170"/>
      <c r="D51" s="170"/>
      <c r="E51" s="170"/>
      <c r="F51" s="170"/>
      <c r="G51" s="170"/>
      <c r="H51" s="170"/>
      <c r="I51" s="170"/>
      <c r="J51" s="170"/>
      <c r="K51" s="170"/>
      <c r="L51" s="170"/>
      <c r="M51" s="170"/>
      <c r="N51" s="170"/>
      <c r="O51" s="170"/>
      <c r="P51" s="170"/>
      <c r="Q51" s="170"/>
      <c r="R51" s="170"/>
      <c r="S51" s="172"/>
      <c r="T51" s="4"/>
      <c r="AL51" s="15"/>
    </row>
    <row r="52" spans="1:38">
      <c r="A52" s="171"/>
      <c r="B52" s="170"/>
      <c r="C52" s="170"/>
      <c r="D52" s="170"/>
      <c r="E52" s="170"/>
      <c r="F52" s="170"/>
      <c r="G52" s="170"/>
      <c r="H52" s="170"/>
      <c r="I52" s="170"/>
      <c r="J52" s="170"/>
      <c r="K52" s="170"/>
      <c r="L52" s="170"/>
      <c r="M52" s="170"/>
      <c r="N52" s="170"/>
      <c r="O52" s="170"/>
      <c r="P52" s="170"/>
      <c r="Q52" s="170"/>
      <c r="R52" s="170"/>
      <c r="S52" s="172"/>
      <c r="T52" s="4"/>
      <c r="AL52" s="15"/>
    </row>
    <row r="53" spans="1:38">
      <c r="A53" s="171"/>
      <c r="B53" s="170"/>
      <c r="C53" s="170"/>
      <c r="D53" s="170"/>
      <c r="E53" s="170"/>
      <c r="F53" s="170"/>
      <c r="G53" s="170"/>
      <c r="H53" s="170"/>
      <c r="I53" s="170"/>
      <c r="J53" s="170"/>
      <c r="K53" s="170"/>
      <c r="L53" s="170"/>
      <c r="M53" s="170"/>
      <c r="N53" s="170"/>
      <c r="O53" s="170"/>
      <c r="P53" s="170"/>
      <c r="Q53" s="170"/>
      <c r="R53" s="170"/>
      <c r="S53" s="172"/>
      <c r="T53" s="4"/>
      <c r="AL53" s="15"/>
    </row>
    <row r="54" spans="1:38">
      <c r="A54" s="171"/>
      <c r="B54" s="170"/>
      <c r="C54" s="170"/>
      <c r="D54" s="170"/>
      <c r="E54" s="170"/>
      <c r="F54" s="170"/>
      <c r="G54" s="170"/>
      <c r="H54" s="170"/>
      <c r="I54" s="170"/>
      <c r="J54" s="170"/>
      <c r="K54" s="170"/>
      <c r="L54" s="170"/>
      <c r="M54" s="170"/>
      <c r="N54" s="170"/>
      <c r="O54" s="170"/>
      <c r="P54" s="170"/>
      <c r="Q54" s="170"/>
      <c r="R54" s="170"/>
      <c r="S54" s="172"/>
      <c r="T54" s="4"/>
      <c r="AL54" s="15"/>
    </row>
    <row r="55" spans="1:38">
      <c r="A55" s="171"/>
      <c r="B55" s="170"/>
      <c r="C55" s="170"/>
      <c r="D55" s="170"/>
      <c r="E55" s="170"/>
      <c r="F55" s="170"/>
      <c r="G55" s="170"/>
      <c r="H55" s="170"/>
      <c r="I55" s="170"/>
      <c r="J55" s="170"/>
      <c r="K55" s="170"/>
      <c r="L55" s="170"/>
      <c r="M55" s="170"/>
      <c r="N55" s="170"/>
      <c r="O55" s="170"/>
      <c r="P55" s="170"/>
      <c r="Q55" s="170"/>
      <c r="R55" s="170"/>
      <c r="S55" s="172"/>
      <c r="T55" s="4"/>
      <c r="AL55" s="15"/>
    </row>
    <row r="56" spans="1:38">
      <c r="A56" s="171"/>
      <c r="B56" s="170"/>
      <c r="C56" s="170"/>
      <c r="D56" s="170"/>
      <c r="E56" s="170"/>
      <c r="F56" s="170"/>
      <c r="G56" s="170"/>
      <c r="H56" s="170"/>
      <c r="I56" s="170"/>
      <c r="J56" s="170"/>
      <c r="K56" s="170"/>
      <c r="L56" s="170"/>
      <c r="M56" s="170"/>
      <c r="N56" s="170"/>
      <c r="O56" s="170"/>
      <c r="P56" s="170"/>
      <c r="Q56" s="170"/>
      <c r="R56" s="170"/>
      <c r="S56" s="172"/>
      <c r="T56" s="4"/>
      <c r="AL56" s="15"/>
    </row>
    <row r="57" spans="1:38">
      <c r="A57" s="171"/>
      <c r="B57" s="170"/>
      <c r="C57" s="170"/>
      <c r="D57" s="170"/>
      <c r="E57" s="170"/>
      <c r="F57" s="170"/>
      <c r="G57" s="170"/>
      <c r="H57" s="170"/>
      <c r="I57" s="170"/>
      <c r="J57" s="170"/>
      <c r="K57" s="170"/>
      <c r="L57" s="170"/>
      <c r="M57" s="170"/>
      <c r="N57" s="170"/>
      <c r="O57" s="170"/>
      <c r="P57" s="170"/>
      <c r="Q57" s="170"/>
      <c r="R57" s="170"/>
      <c r="S57" s="172"/>
      <c r="T57" s="4"/>
      <c r="AL57" s="15"/>
    </row>
    <row r="58" spans="1:38">
      <c r="A58" s="171"/>
      <c r="B58" s="170"/>
      <c r="C58" s="170"/>
      <c r="D58" s="170"/>
      <c r="E58" s="170"/>
      <c r="F58" s="170"/>
      <c r="G58" s="170"/>
      <c r="H58" s="170"/>
      <c r="I58" s="170"/>
      <c r="J58" s="170"/>
      <c r="K58" s="170"/>
      <c r="L58" s="170"/>
      <c r="M58" s="170"/>
      <c r="N58" s="170"/>
      <c r="O58" s="170"/>
      <c r="P58" s="170"/>
      <c r="Q58" s="170"/>
      <c r="R58" s="170"/>
      <c r="S58" s="172"/>
      <c r="T58" s="4"/>
      <c r="AL58" s="15"/>
    </row>
    <row r="59" spans="1:38">
      <c r="A59" s="171"/>
      <c r="B59" s="170"/>
      <c r="C59" s="170"/>
      <c r="D59" s="170"/>
      <c r="E59" s="170"/>
      <c r="F59" s="170"/>
      <c r="G59" s="170"/>
      <c r="H59" s="170"/>
      <c r="I59" s="170"/>
      <c r="J59" s="170"/>
      <c r="K59" s="170"/>
      <c r="L59" s="170"/>
      <c r="M59" s="170"/>
      <c r="N59" s="170"/>
      <c r="O59" s="170"/>
      <c r="P59" s="170"/>
      <c r="Q59" s="170"/>
      <c r="R59" s="170"/>
      <c r="S59" s="172"/>
      <c r="T59" s="4"/>
      <c r="AL59" s="15"/>
    </row>
    <row r="60" spans="1:38">
      <c r="A60" s="171"/>
      <c r="B60" s="170"/>
      <c r="C60" s="170"/>
      <c r="D60" s="170"/>
      <c r="E60" s="170"/>
      <c r="F60" s="170"/>
      <c r="G60" s="170"/>
      <c r="H60" s="170"/>
      <c r="I60" s="170"/>
      <c r="J60" s="170"/>
      <c r="K60" s="170"/>
      <c r="L60" s="170"/>
      <c r="M60" s="170"/>
      <c r="N60" s="170"/>
      <c r="O60" s="170"/>
      <c r="P60" s="170"/>
      <c r="Q60" s="170"/>
      <c r="R60" s="170"/>
      <c r="S60" s="172"/>
      <c r="T60" s="4"/>
      <c r="AL60" s="15"/>
    </row>
    <row r="61" spans="1:38">
      <c r="A61" s="171"/>
      <c r="B61" s="170"/>
      <c r="C61" s="170"/>
      <c r="D61" s="170"/>
      <c r="E61" s="170"/>
      <c r="F61" s="170"/>
      <c r="G61" s="170"/>
      <c r="H61" s="170"/>
      <c r="I61" s="170"/>
      <c r="J61" s="170"/>
      <c r="K61" s="170"/>
      <c r="L61" s="170"/>
      <c r="M61" s="170"/>
      <c r="N61" s="170"/>
      <c r="O61" s="170"/>
      <c r="P61" s="170"/>
      <c r="Q61" s="170"/>
      <c r="R61" s="170"/>
      <c r="S61" s="172"/>
      <c r="T61" s="4"/>
      <c r="AL61" s="15"/>
    </row>
    <row r="62" spans="1:38">
      <c r="A62" s="171"/>
      <c r="B62" s="170"/>
      <c r="C62" s="170"/>
      <c r="D62" s="170"/>
      <c r="E62" s="170"/>
      <c r="F62" s="170"/>
      <c r="G62" s="170"/>
      <c r="H62" s="170"/>
      <c r="I62" s="170"/>
      <c r="J62" s="170"/>
      <c r="K62" s="170"/>
      <c r="L62" s="170"/>
      <c r="M62" s="170"/>
      <c r="N62" s="170"/>
      <c r="O62" s="170"/>
      <c r="P62" s="170"/>
      <c r="Q62" s="170"/>
      <c r="R62" s="170"/>
      <c r="S62" s="172"/>
      <c r="T62" s="4"/>
      <c r="AL62" s="15"/>
    </row>
    <row r="63" spans="1:38">
      <c r="A63" s="171"/>
      <c r="B63" s="170"/>
      <c r="C63" s="170"/>
      <c r="D63" s="170"/>
      <c r="E63" s="170"/>
      <c r="F63" s="170"/>
      <c r="G63" s="170"/>
      <c r="H63" s="170"/>
      <c r="I63" s="170"/>
      <c r="J63" s="170"/>
      <c r="K63" s="170"/>
      <c r="L63" s="170"/>
      <c r="M63" s="170"/>
      <c r="N63" s="170"/>
      <c r="O63" s="170"/>
      <c r="P63" s="170"/>
      <c r="Q63" s="170"/>
      <c r="R63" s="170"/>
      <c r="S63" s="172"/>
      <c r="T63" s="4"/>
      <c r="AL63" s="15"/>
    </row>
    <row r="64" spans="1:38">
      <c r="A64" s="171"/>
      <c r="B64" s="170"/>
      <c r="C64" s="170"/>
      <c r="D64" s="170"/>
      <c r="E64" s="170"/>
      <c r="F64" s="170"/>
      <c r="G64" s="170"/>
      <c r="H64" s="170"/>
      <c r="I64" s="170"/>
      <c r="J64" s="170"/>
      <c r="K64" s="170"/>
      <c r="L64" s="170"/>
      <c r="M64" s="170"/>
      <c r="N64" s="170"/>
      <c r="O64" s="170"/>
      <c r="P64" s="170"/>
      <c r="Q64" s="170"/>
      <c r="R64" s="170"/>
      <c r="S64" s="172"/>
      <c r="T64" s="4"/>
      <c r="AL64" s="15"/>
    </row>
    <row r="65" spans="1:38">
      <c r="A65" s="171"/>
      <c r="B65" s="170"/>
      <c r="C65" s="170"/>
      <c r="D65" s="170"/>
      <c r="E65" s="170"/>
      <c r="F65" s="170"/>
      <c r="G65" s="170"/>
      <c r="H65" s="170"/>
      <c r="I65" s="170"/>
      <c r="J65" s="170"/>
      <c r="K65" s="170"/>
      <c r="L65" s="170"/>
      <c r="M65" s="170"/>
      <c r="N65" s="170"/>
      <c r="O65" s="170"/>
      <c r="P65" s="170"/>
      <c r="Q65" s="170"/>
      <c r="R65" s="170"/>
      <c r="S65" s="172"/>
      <c r="T65" s="4"/>
      <c r="AL65" s="15"/>
    </row>
    <row r="66" spans="1:38">
      <c r="A66" s="171"/>
      <c r="B66" s="170"/>
      <c r="C66" s="170"/>
      <c r="D66" s="170"/>
      <c r="E66" s="170"/>
      <c r="F66" s="170"/>
      <c r="G66" s="170"/>
      <c r="H66" s="170"/>
      <c r="I66" s="170"/>
      <c r="J66" s="170"/>
      <c r="K66" s="170"/>
      <c r="L66" s="170"/>
      <c r="M66" s="170"/>
      <c r="N66" s="170"/>
      <c r="O66" s="170"/>
      <c r="P66" s="170"/>
      <c r="Q66" s="170"/>
      <c r="R66" s="170"/>
      <c r="S66" s="172"/>
      <c r="T66" s="4"/>
      <c r="AL66" s="15"/>
    </row>
    <row r="67" spans="1:38">
      <c r="A67" s="171"/>
      <c r="B67" s="170"/>
      <c r="C67" s="170"/>
      <c r="D67" s="170"/>
      <c r="E67" s="170"/>
      <c r="F67" s="170"/>
      <c r="G67" s="170"/>
      <c r="H67" s="170"/>
      <c r="I67" s="170"/>
      <c r="J67" s="170"/>
      <c r="K67" s="170"/>
      <c r="L67" s="170"/>
      <c r="M67" s="170"/>
      <c r="N67" s="170"/>
      <c r="O67" s="170"/>
      <c r="P67" s="170"/>
      <c r="Q67" s="170"/>
      <c r="R67" s="170"/>
      <c r="S67" s="172"/>
      <c r="T67" s="4"/>
      <c r="AL67" s="15"/>
    </row>
    <row r="68" spans="1:38">
      <c r="A68" s="171"/>
      <c r="B68" s="170"/>
      <c r="C68" s="170"/>
      <c r="D68" s="170"/>
      <c r="E68" s="170"/>
      <c r="F68" s="170"/>
      <c r="G68" s="170"/>
      <c r="H68" s="170"/>
      <c r="I68" s="170"/>
      <c r="J68" s="170"/>
      <c r="K68" s="170"/>
      <c r="L68" s="170"/>
      <c r="M68" s="170"/>
      <c r="N68" s="170"/>
      <c r="O68" s="170"/>
      <c r="P68" s="170"/>
      <c r="Q68" s="170"/>
      <c r="R68" s="170"/>
      <c r="S68" s="172"/>
      <c r="T68" s="4"/>
      <c r="AL68" s="15"/>
    </row>
    <row r="69" spans="1:38">
      <c r="A69" s="171"/>
      <c r="B69" s="170"/>
      <c r="C69" s="170"/>
      <c r="D69" s="170"/>
      <c r="E69" s="170"/>
      <c r="F69" s="170"/>
      <c r="G69" s="170"/>
      <c r="H69" s="170"/>
      <c r="I69" s="170"/>
      <c r="J69" s="170"/>
      <c r="K69" s="170"/>
      <c r="L69" s="170"/>
      <c r="M69" s="170"/>
      <c r="N69" s="170"/>
      <c r="O69" s="170"/>
      <c r="P69" s="170"/>
      <c r="Q69" s="170"/>
      <c r="R69" s="170"/>
      <c r="S69" s="172"/>
      <c r="T69" s="4"/>
      <c r="AL69" s="15"/>
    </row>
    <row r="70" spans="1:38">
      <c r="A70" s="171"/>
      <c r="B70" s="170"/>
      <c r="C70" s="170"/>
      <c r="D70" s="170"/>
      <c r="E70" s="170"/>
      <c r="F70" s="170"/>
      <c r="G70" s="170"/>
      <c r="H70" s="170"/>
      <c r="I70" s="170"/>
      <c r="J70" s="170"/>
      <c r="K70" s="170"/>
      <c r="L70" s="170"/>
      <c r="M70" s="170"/>
      <c r="N70" s="170"/>
      <c r="O70" s="170"/>
      <c r="P70" s="170"/>
      <c r="Q70" s="170"/>
      <c r="R70" s="170"/>
      <c r="S70" s="172"/>
      <c r="T70" s="4"/>
      <c r="AL70" s="15"/>
    </row>
    <row r="71" spans="1:38">
      <c r="A71" s="171"/>
      <c r="B71" s="170"/>
      <c r="C71" s="170"/>
      <c r="D71" s="170"/>
      <c r="E71" s="170"/>
      <c r="F71" s="170"/>
      <c r="G71" s="170"/>
      <c r="H71" s="170"/>
      <c r="I71" s="170"/>
      <c r="J71" s="170"/>
      <c r="K71" s="170"/>
      <c r="L71" s="170"/>
      <c r="M71" s="170"/>
      <c r="N71" s="170"/>
      <c r="O71" s="170"/>
      <c r="P71" s="170"/>
      <c r="Q71" s="170"/>
      <c r="R71" s="170"/>
      <c r="S71" s="172"/>
      <c r="T71" s="4"/>
      <c r="AL71" s="15"/>
    </row>
    <row r="72" spans="1:38">
      <c r="A72" s="171"/>
      <c r="B72" s="170"/>
      <c r="C72" s="170"/>
      <c r="D72" s="170"/>
      <c r="E72" s="170"/>
      <c r="F72" s="170"/>
      <c r="G72" s="170"/>
      <c r="H72" s="170"/>
      <c r="I72" s="170"/>
      <c r="J72" s="170"/>
      <c r="K72" s="170"/>
      <c r="L72" s="170"/>
      <c r="M72" s="170"/>
      <c r="N72" s="170"/>
      <c r="O72" s="170"/>
      <c r="P72" s="170"/>
      <c r="Q72" s="170"/>
      <c r="R72" s="170"/>
      <c r="S72" s="172"/>
      <c r="T72" s="4"/>
      <c r="AL72" s="15"/>
    </row>
    <row r="73" spans="1:38">
      <c r="A73" s="232"/>
      <c r="B73" s="173"/>
      <c r="C73" s="173"/>
      <c r="D73" s="173"/>
      <c r="E73" s="173"/>
      <c r="F73" s="173"/>
      <c r="G73" s="173"/>
      <c r="H73" s="173"/>
      <c r="I73" s="173"/>
      <c r="J73" s="173"/>
      <c r="K73" s="173"/>
      <c r="L73" s="173"/>
      <c r="M73" s="173"/>
      <c r="N73" s="173"/>
      <c r="O73" s="173"/>
      <c r="P73" s="173"/>
      <c r="Q73" s="173"/>
      <c r="R73" s="173"/>
      <c r="S73" s="174"/>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6UE7YJUvISh4sODGRiX2AwAvEtuMALGoiSB46XoNxmwsmZcioIYWPxS1OBxqzJ2t80phZhYJxOml5FO4S2UzGg==" saltValue="Ea4A2Id5BRLww+regf6P1Q==" spinCount="100000" sheet="1" scenarios="1" insertHyperlinks="0"/>
  <mergeCells count="1">
    <mergeCell ref="A1:S1"/>
  </mergeCells>
  <phoneticPr fontId="0" type="noConversion"/>
  <hyperlinks>
    <hyperlink ref="R3" location="'T3.10.5 T3.5 MHoop Brace Spt'!A1" display="BACK" xr:uid="{7DE92CFF-8247-42EB-B63F-9FFAEA2EC805}"/>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sqref="A1:S1"/>
    </sheetView>
  </sheetViews>
  <sheetFormatPr baseColWidth="10" defaultColWidth="11.46484375" defaultRowHeight="12.75"/>
  <cols>
    <col min="1" max="21" width="5" customWidth="1"/>
    <col min="22" max="22" width="6.33203125" customWidth="1"/>
    <col min="23" max="38" width="5" customWidth="1"/>
  </cols>
  <sheetData>
    <row r="1" spans="1:38" ht="13.15">
      <c r="A1" s="1194" t="s">
        <v>768</v>
      </c>
      <c r="B1" s="1195"/>
      <c r="C1" s="1195"/>
      <c r="D1" s="1195"/>
      <c r="E1" s="1195"/>
      <c r="F1" s="1195"/>
      <c r="G1" s="1195"/>
      <c r="H1" s="1195"/>
      <c r="I1" s="1195"/>
      <c r="J1" s="1195"/>
      <c r="K1" s="1195"/>
      <c r="L1" s="1195"/>
      <c r="M1" s="1195"/>
      <c r="N1" s="1195"/>
      <c r="O1" s="1195"/>
      <c r="P1" s="1195"/>
      <c r="Q1" s="1195"/>
      <c r="R1" s="1195"/>
      <c r="S1" s="1196"/>
      <c r="T1" s="58"/>
      <c r="U1" s="2"/>
      <c r="V1" s="2"/>
      <c r="W1" s="2"/>
      <c r="X1" s="2"/>
      <c r="Y1" s="2"/>
      <c r="Z1" s="2"/>
      <c r="AA1" s="2"/>
      <c r="AB1" s="2"/>
      <c r="AC1" s="2"/>
      <c r="AD1" s="2"/>
      <c r="AE1" s="2"/>
      <c r="AF1" s="2"/>
      <c r="AG1" s="2"/>
      <c r="AH1" s="2"/>
      <c r="AI1" s="2"/>
      <c r="AJ1" s="2"/>
      <c r="AK1" s="2"/>
      <c r="AL1" s="136"/>
    </row>
    <row r="2" spans="1:38">
      <c r="A2" s="228"/>
      <c r="B2" s="229"/>
      <c r="C2" s="229"/>
      <c r="D2" s="229"/>
      <c r="E2" s="229"/>
      <c r="F2" s="229"/>
      <c r="G2" s="229"/>
      <c r="H2" s="229"/>
      <c r="I2" s="229"/>
      <c r="J2" s="229"/>
      <c r="K2" s="229"/>
      <c r="L2" s="229"/>
      <c r="M2" s="229"/>
      <c r="N2" s="229"/>
      <c r="O2" s="229"/>
      <c r="P2" s="229"/>
      <c r="Q2" s="229"/>
      <c r="R2" s="229"/>
      <c r="S2" s="230"/>
      <c r="T2" s="4"/>
      <c r="AL2" s="15"/>
    </row>
    <row r="3" spans="1:38">
      <c r="A3" s="171"/>
      <c r="B3" s="231" t="s">
        <v>769</v>
      </c>
      <c r="C3" s="170"/>
      <c r="D3" s="170"/>
      <c r="E3" s="170"/>
      <c r="F3" s="170"/>
      <c r="G3" s="170"/>
      <c r="H3" s="170"/>
      <c r="I3" s="170"/>
      <c r="J3" s="170"/>
      <c r="K3" s="170"/>
      <c r="L3" s="170"/>
      <c r="M3" s="170"/>
      <c r="N3" s="170"/>
      <c r="O3" s="170"/>
      <c r="P3" s="170"/>
      <c r="Q3" s="145" t="s">
        <v>757</v>
      </c>
      <c r="R3" s="170"/>
      <c r="S3" s="172"/>
      <c r="T3" s="4"/>
      <c r="U3" s="8" t="s">
        <v>770</v>
      </c>
      <c r="AL3" s="15"/>
    </row>
    <row r="4" spans="1:38">
      <c r="A4" s="171"/>
      <c r="B4" s="231" t="s">
        <v>771</v>
      </c>
      <c r="C4" s="170"/>
      <c r="D4" s="170"/>
      <c r="E4" s="170"/>
      <c r="F4" s="170"/>
      <c r="G4" s="170"/>
      <c r="H4" s="170"/>
      <c r="I4" s="170"/>
      <c r="J4" s="170"/>
      <c r="K4" s="170"/>
      <c r="L4" s="170"/>
      <c r="M4" s="170"/>
      <c r="N4" s="170"/>
      <c r="O4" s="170"/>
      <c r="P4" s="170"/>
      <c r="Q4" s="170"/>
      <c r="R4" s="170"/>
      <c r="S4" s="172"/>
      <c r="T4" s="4"/>
      <c r="U4" s="8" t="s">
        <v>772</v>
      </c>
      <c r="AL4" s="15"/>
    </row>
    <row r="5" spans="1:38">
      <c r="A5" s="171"/>
      <c r="B5" s="231"/>
      <c r="C5" s="170"/>
      <c r="D5" s="170"/>
      <c r="E5" s="170"/>
      <c r="F5" s="170"/>
      <c r="G5" s="170"/>
      <c r="H5" s="170"/>
      <c r="I5" s="170"/>
      <c r="J5" s="170"/>
      <c r="K5" s="170"/>
      <c r="L5" s="170"/>
      <c r="M5" s="170"/>
      <c r="N5" s="170"/>
      <c r="O5" s="170"/>
      <c r="P5" s="170"/>
      <c r="Q5" s="170"/>
      <c r="R5" s="170"/>
      <c r="S5" s="172"/>
      <c r="T5" s="4"/>
      <c r="U5" s="8" t="s">
        <v>773</v>
      </c>
      <c r="AL5" s="15"/>
    </row>
    <row r="6" spans="1:38">
      <c r="A6" s="171"/>
      <c r="B6" s="231" t="s">
        <v>774</v>
      </c>
      <c r="C6" s="170"/>
      <c r="D6" s="170"/>
      <c r="E6" s="170"/>
      <c r="F6" s="170"/>
      <c r="G6" s="170"/>
      <c r="H6" s="170"/>
      <c r="I6" s="170"/>
      <c r="J6" s="170"/>
      <c r="K6" s="170"/>
      <c r="L6" s="170"/>
      <c r="M6" s="170"/>
      <c r="N6" s="170"/>
      <c r="O6" s="170"/>
      <c r="P6" s="170"/>
      <c r="Q6" s="170"/>
      <c r="R6" s="170"/>
      <c r="S6" s="172"/>
      <c r="T6" s="4"/>
      <c r="U6" s="8"/>
      <c r="AL6" s="15"/>
    </row>
    <row r="7" spans="1:38">
      <c r="A7" s="171"/>
      <c r="B7" s="231" t="s">
        <v>775</v>
      </c>
      <c r="C7" s="170"/>
      <c r="D7" s="170"/>
      <c r="E7" s="170"/>
      <c r="F7" s="170"/>
      <c r="G7" s="170"/>
      <c r="H7" s="170"/>
      <c r="I7" s="170"/>
      <c r="J7" s="170"/>
      <c r="K7" s="170"/>
      <c r="L7" s="170"/>
      <c r="M7" s="170"/>
      <c r="N7" s="170"/>
      <c r="O7" s="170"/>
      <c r="P7" s="170"/>
      <c r="Q7" s="170"/>
      <c r="R7" s="170"/>
      <c r="S7" s="172"/>
      <c r="T7" s="4"/>
      <c r="AL7" s="15"/>
    </row>
    <row r="8" spans="1:38">
      <c r="A8" s="171"/>
      <c r="B8" s="231" t="s">
        <v>776</v>
      </c>
      <c r="C8" s="170"/>
      <c r="D8" s="170"/>
      <c r="E8" s="170"/>
      <c r="F8" s="170"/>
      <c r="G8" s="170"/>
      <c r="H8" s="170"/>
      <c r="I8" s="170"/>
      <c r="J8" s="170"/>
      <c r="K8" s="170"/>
      <c r="L8" s="170"/>
      <c r="M8" s="170"/>
      <c r="N8" s="170"/>
      <c r="O8" s="170"/>
      <c r="P8" s="170"/>
      <c r="Q8" s="170"/>
      <c r="R8" s="170"/>
      <c r="S8" s="172"/>
      <c r="T8" s="4"/>
      <c r="AL8" s="15"/>
    </row>
    <row r="9" spans="1:38">
      <c r="A9" s="171"/>
      <c r="B9" s="231" t="s">
        <v>777</v>
      </c>
      <c r="C9" s="170"/>
      <c r="D9" s="170"/>
      <c r="E9" s="170"/>
      <c r="F9" s="170"/>
      <c r="G9" s="170"/>
      <c r="H9" s="170"/>
      <c r="I9" s="170"/>
      <c r="J9" s="170"/>
      <c r="K9" s="170"/>
      <c r="L9" s="512"/>
      <c r="M9" s="170"/>
      <c r="N9" s="170"/>
      <c r="O9" s="170"/>
      <c r="P9" s="170"/>
      <c r="Q9" s="170"/>
      <c r="R9" s="170"/>
      <c r="S9" s="172"/>
      <c r="T9" s="4"/>
      <c r="AL9" s="15"/>
    </row>
    <row r="10" spans="1:38">
      <c r="A10" s="171"/>
      <c r="B10" s="231" t="s">
        <v>778</v>
      </c>
      <c r="C10" s="170"/>
      <c r="D10" s="170"/>
      <c r="E10" s="170"/>
      <c r="F10" s="170"/>
      <c r="G10" s="170"/>
      <c r="H10" s="170"/>
      <c r="I10" s="170"/>
      <c r="J10" s="170"/>
      <c r="K10" s="170"/>
      <c r="L10" s="512"/>
      <c r="M10" s="170"/>
      <c r="N10" s="170"/>
      <c r="O10" s="170"/>
      <c r="P10" s="170"/>
      <c r="Q10" s="170"/>
      <c r="R10" s="170"/>
      <c r="S10" s="172"/>
      <c r="T10" s="4"/>
      <c r="AL10" s="15"/>
    </row>
    <row r="11" spans="1:38">
      <c r="A11" s="171"/>
      <c r="B11" s="231"/>
      <c r="C11" s="170"/>
      <c r="D11" s="170"/>
      <c r="E11" s="170"/>
      <c r="F11" s="170"/>
      <c r="G11" s="170"/>
      <c r="H11" s="170"/>
      <c r="I11" s="170"/>
      <c r="J11" s="170"/>
      <c r="K11" s="170"/>
      <c r="L11" s="512"/>
      <c r="M11" s="170"/>
      <c r="N11" s="170"/>
      <c r="O11" s="170"/>
      <c r="P11" s="170"/>
      <c r="Q11" s="170"/>
      <c r="R11" s="170"/>
      <c r="S11" s="172"/>
      <c r="T11" s="4"/>
      <c r="AL11" s="15"/>
    </row>
    <row r="12" spans="1:38">
      <c r="A12" s="171"/>
      <c r="B12" s="231" t="s">
        <v>779</v>
      </c>
      <c r="C12" s="170"/>
      <c r="D12" s="170"/>
      <c r="E12" s="170"/>
      <c r="F12" s="170"/>
      <c r="G12" s="170"/>
      <c r="H12" s="170"/>
      <c r="I12" s="170"/>
      <c r="J12" s="170"/>
      <c r="K12" s="170"/>
      <c r="L12" s="512"/>
      <c r="M12" s="170"/>
      <c r="N12" s="170"/>
      <c r="O12" s="170"/>
      <c r="P12" s="170"/>
      <c r="Q12" s="170"/>
      <c r="R12" s="170"/>
      <c r="S12" s="172"/>
      <c r="T12" s="4"/>
      <c r="AL12" s="15"/>
    </row>
    <row r="13" spans="1:38">
      <c r="A13" s="171"/>
      <c r="B13" s="231"/>
      <c r="C13" s="170"/>
      <c r="D13" s="170"/>
      <c r="E13" s="170"/>
      <c r="F13" s="170"/>
      <c r="G13" s="170"/>
      <c r="H13" s="170"/>
      <c r="I13" s="170"/>
      <c r="J13" s="170"/>
      <c r="K13" s="170"/>
      <c r="L13" s="512"/>
      <c r="M13" s="170"/>
      <c r="N13" s="170"/>
      <c r="O13" s="170"/>
      <c r="P13" s="170"/>
      <c r="Q13" s="170"/>
      <c r="R13" s="170"/>
      <c r="S13" s="172"/>
      <c r="T13" s="4"/>
      <c r="AL13" s="15"/>
    </row>
    <row r="14" spans="1:38">
      <c r="A14" s="171"/>
      <c r="B14" s="231" t="s">
        <v>780</v>
      </c>
      <c r="C14" s="170"/>
      <c r="D14" s="170"/>
      <c r="E14" s="170"/>
      <c r="F14" s="170"/>
      <c r="G14" s="170"/>
      <c r="H14" s="170"/>
      <c r="I14" s="170"/>
      <c r="J14" s="170"/>
      <c r="K14" s="170"/>
      <c r="L14" s="170"/>
      <c r="M14" s="170"/>
      <c r="N14" s="170"/>
      <c r="O14" s="170"/>
      <c r="P14" s="170"/>
      <c r="Q14" s="170"/>
      <c r="R14" s="170"/>
      <c r="S14" s="172"/>
      <c r="T14" s="4"/>
      <c r="AL14" s="15"/>
    </row>
    <row r="15" spans="1:38">
      <c r="A15" s="171"/>
      <c r="B15" s="231" t="s">
        <v>781</v>
      </c>
      <c r="C15" s="170"/>
      <c r="D15" s="170"/>
      <c r="E15" s="170"/>
      <c r="F15" s="170"/>
      <c r="G15" s="170"/>
      <c r="H15" s="170"/>
      <c r="I15" s="170"/>
      <c r="J15" s="170"/>
      <c r="K15" s="170"/>
      <c r="L15" s="170"/>
      <c r="M15" s="170"/>
      <c r="N15" s="170"/>
      <c r="O15" s="170"/>
      <c r="P15" s="170"/>
      <c r="Q15" s="170"/>
      <c r="R15" s="170"/>
      <c r="S15" s="172"/>
      <c r="T15" s="4"/>
      <c r="AL15" s="15"/>
    </row>
    <row r="16" spans="1:38">
      <c r="A16" s="171"/>
      <c r="B16" s="231" t="s">
        <v>782</v>
      </c>
      <c r="C16" s="170"/>
      <c r="D16" s="170"/>
      <c r="E16" s="170"/>
      <c r="F16" s="170"/>
      <c r="G16" s="170"/>
      <c r="H16" s="170"/>
      <c r="I16" s="170"/>
      <c r="J16" s="170"/>
      <c r="K16" s="170"/>
      <c r="L16" s="170"/>
      <c r="M16" s="170"/>
      <c r="N16" s="170"/>
      <c r="O16" s="170"/>
      <c r="P16" s="170"/>
      <c r="Q16" s="170"/>
      <c r="R16" s="170"/>
      <c r="S16" s="172"/>
      <c r="T16" s="4"/>
      <c r="AL16" s="15"/>
    </row>
    <row r="17" spans="1:38">
      <c r="A17" s="171"/>
      <c r="B17" s="231"/>
      <c r="C17" s="170"/>
      <c r="D17" s="170"/>
      <c r="E17" s="170"/>
      <c r="F17" s="170"/>
      <c r="G17" s="170"/>
      <c r="H17" s="170"/>
      <c r="I17" s="170"/>
      <c r="J17" s="170"/>
      <c r="K17" s="170"/>
      <c r="L17" s="170"/>
      <c r="M17" s="170"/>
      <c r="N17" s="170"/>
      <c r="O17" s="170"/>
      <c r="P17" s="170"/>
      <c r="Q17" s="170"/>
      <c r="R17" s="170"/>
      <c r="S17" s="172"/>
      <c r="T17" s="4"/>
      <c r="AL17" s="15"/>
    </row>
    <row r="18" spans="1:38">
      <c r="A18" s="171"/>
      <c r="B18" s="231" t="s">
        <v>783</v>
      </c>
      <c r="C18" s="170"/>
      <c r="D18" s="170"/>
      <c r="E18" s="170"/>
      <c r="F18" s="170"/>
      <c r="G18" s="170"/>
      <c r="H18" s="170"/>
      <c r="I18" s="170"/>
      <c r="J18" s="170"/>
      <c r="K18" s="170"/>
      <c r="L18" s="170"/>
      <c r="M18" s="170"/>
      <c r="N18" s="170"/>
      <c r="O18" s="170"/>
      <c r="P18" s="170"/>
      <c r="Q18" s="170"/>
      <c r="R18" s="170"/>
      <c r="S18" s="172"/>
      <c r="T18" s="4"/>
      <c r="AL18" s="15"/>
    </row>
    <row r="19" spans="1:38">
      <c r="A19" s="171"/>
      <c r="B19" s="170"/>
      <c r="C19" s="170"/>
      <c r="D19" s="170"/>
      <c r="E19" s="170"/>
      <c r="F19" s="170"/>
      <c r="G19" s="170"/>
      <c r="H19" s="170"/>
      <c r="I19" s="170"/>
      <c r="J19" s="170"/>
      <c r="K19" s="170"/>
      <c r="L19" s="170"/>
      <c r="M19" s="170"/>
      <c r="N19" s="170"/>
      <c r="O19" s="170"/>
      <c r="P19" s="170"/>
      <c r="Q19" s="170"/>
      <c r="R19" s="170"/>
      <c r="S19" s="172"/>
      <c r="T19" s="4"/>
      <c r="AL19" s="15"/>
    </row>
    <row r="20" spans="1:38">
      <c r="A20" s="171"/>
      <c r="B20" s="170"/>
      <c r="C20" s="170"/>
      <c r="D20" s="170"/>
      <c r="E20" s="170"/>
      <c r="F20" s="170"/>
      <c r="G20" s="170"/>
      <c r="H20" s="170"/>
      <c r="I20" s="170"/>
      <c r="J20" s="170"/>
      <c r="K20" s="170"/>
      <c r="L20" s="170"/>
      <c r="M20" s="170"/>
      <c r="N20" s="170"/>
      <c r="O20" s="170"/>
      <c r="P20" s="170"/>
      <c r="Q20" s="170"/>
      <c r="R20" s="170"/>
      <c r="S20" s="172"/>
      <c r="T20" s="4"/>
      <c r="AL20" s="15"/>
    </row>
    <row r="21" spans="1:38">
      <c r="A21" s="171"/>
      <c r="B21" s="231" t="s">
        <v>784</v>
      </c>
      <c r="C21" s="170"/>
      <c r="D21" s="170"/>
      <c r="E21" s="170"/>
      <c r="F21" s="170"/>
      <c r="G21" s="170"/>
      <c r="H21" s="170"/>
      <c r="I21" s="170"/>
      <c r="J21" s="170"/>
      <c r="K21" s="170"/>
      <c r="L21" s="170"/>
      <c r="M21" s="170"/>
      <c r="N21" s="170"/>
      <c r="O21" s="170"/>
      <c r="P21" s="170"/>
      <c r="Q21" s="170"/>
      <c r="R21" s="170"/>
      <c r="S21" s="172"/>
      <c r="T21" s="4"/>
      <c r="AL21" s="15"/>
    </row>
    <row r="22" spans="1:38">
      <c r="A22" s="171"/>
      <c r="B22" s="231" t="s">
        <v>785</v>
      </c>
      <c r="C22" s="170"/>
      <c r="D22" s="170"/>
      <c r="E22" s="170"/>
      <c r="F22" s="170"/>
      <c r="G22" s="170"/>
      <c r="H22" s="170"/>
      <c r="I22" s="170"/>
      <c r="J22" s="170"/>
      <c r="K22" s="170"/>
      <c r="L22" s="170"/>
      <c r="M22" s="170"/>
      <c r="N22" s="170"/>
      <c r="O22" s="170"/>
      <c r="P22" s="170"/>
      <c r="Q22" s="170"/>
      <c r="R22" s="170"/>
      <c r="S22" s="172"/>
      <c r="T22" s="4"/>
      <c r="AL22" s="15"/>
    </row>
    <row r="23" spans="1:38">
      <c r="A23" s="171"/>
      <c r="C23" s="170"/>
      <c r="D23" s="170"/>
      <c r="E23" s="170"/>
      <c r="F23" s="170"/>
      <c r="G23" s="170"/>
      <c r="H23" s="170"/>
      <c r="I23" s="170"/>
      <c r="J23" s="170"/>
      <c r="K23" s="170"/>
      <c r="L23" s="170"/>
      <c r="M23" s="170"/>
      <c r="N23" s="170"/>
      <c r="O23" s="170"/>
      <c r="P23" s="170"/>
      <c r="Q23" s="170"/>
      <c r="R23" s="170"/>
      <c r="S23" s="172"/>
      <c r="T23" s="4"/>
      <c r="AL23" s="15"/>
    </row>
    <row r="24" spans="1:38">
      <c r="A24" s="171"/>
      <c r="B24" s="8" t="s">
        <v>786</v>
      </c>
      <c r="C24" s="170"/>
      <c r="D24" s="170"/>
      <c r="E24" s="170"/>
      <c r="F24" s="170"/>
      <c r="G24" s="170"/>
      <c r="H24" s="170"/>
      <c r="I24" s="170"/>
      <c r="J24" s="170"/>
      <c r="K24" s="170"/>
      <c r="L24" s="170"/>
      <c r="M24" s="170"/>
      <c r="N24" s="170"/>
      <c r="O24" s="170"/>
      <c r="P24" s="170"/>
      <c r="Q24" s="170"/>
      <c r="R24" s="170"/>
      <c r="S24" s="172"/>
      <c r="T24" s="4"/>
      <c r="AL24" s="15"/>
    </row>
    <row r="25" spans="1:38">
      <c r="A25" s="171"/>
      <c r="B25" s="8" t="s">
        <v>787</v>
      </c>
      <c r="C25" s="170"/>
      <c r="D25" s="170"/>
      <c r="E25" s="170"/>
      <c r="F25" s="170"/>
      <c r="G25" s="170"/>
      <c r="H25" s="170"/>
      <c r="I25" s="170"/>
      <c r="J25" s="170"/>
      <c r="K25" s="170"/>
      <c r="L25" s="170"/>
      <c r="M25" s="170"/>
      <c r="N25" s="170"/>
      <c r="O25" s="170"/>
      <c r="P25" s="170"/>
      <c r="Q25" s="170"/>
      <c r="R25" s="170"/>
      <c r="S25" s="172"/>
      <c r="T25" s="4"/>
      <c r="AL25" s="15"/>
    </row>
    <row r="26" spans="1:38">
      <c r="A26" s="171"/>
      <c r="C26" s="170"/>
      <c r="D26" s="170"/>
      <c r="E26" s="170"/>
      <c r="F26" s="170"/>
      <c r="G26" s="170"/>
      <c r="H26" s="170"/>
      <c r="I26" s="170"/>
      <c r="J26" s="170"/>
      <c r="K26" s="170"/>
      <c r="L26" s="170"/>
      <c r="M26" s="170"/>
      <c r="N26" s="170"/>
      <c r="O26" s="170"/>
      <c r="P26" s="170"/>
      <c r="Q26" s="170"/>
      <c r="R26" s="170"/>
      <c r="S26" s="172"/>
      <c r="T26" s="4"/>
      <c r="AL26" s="15"/>
    </row>
    <row r="27" spans="1:38">
      <c r="A27" s="171"/>
      <c r="B27" s="231" t="s">
        <v>788</v>
      </c>
      <c r="C27" s="170"/>
      <c r="D27" s="170"/>
      <c r="E27" s="170"/>
      <c r="F27" s="170"/>
      <c r="G27" s="170"/>
      <c r="H27" s="170"/>
      <c r="I27" s="170"/>
      <c r="J27" s="170"/>
      <c r="K27" s="170"/>
      <c r="L27" s="170"/>
      <c r="M27" s="170"/>
      <c r="N27" s="170"/>
      <c r="O27" s="170"/>
      <c r="P27" s="170"/>
      <c r="Q27" s="170"/>
      <c r="R27" s="170"/>
      <c r="S27" s="172"/>
      <c r="T27" s="4"/>
      <c r="AL27" s="15"/>
    </row>
    <row r="28" spans="1:38">
      <c r="A28" s="171"/>
      <c r="B28" s="231" t="s">
        <v>789</v>
      </c>
      <c r="C28" s="170"/>
      <c r="D28" s="170"/>
      <c r="E28" s="170"/>
      <c r="F28" s="170"/>
      <c r="G28" s="170"/>
      <c r="H28" s="170"/>
      <c r="I28" s="170"/>
      <c r="J28" s="170"/>
      <c r="K28" s="170"/>
      <c r="L28" s="170"/>
      <c r="M28" s="170"/>
      <c r="N28" s="170"/>
      <c r="O28" s="170"/>
      <c r="P28" s="170"/>
      <c r="Q28" s="170"/>
      <c r="R28" s="170"/>
      <c r="S28" s="172"/>
      <c r="T28" s="4"/>
      <c r="AL28" s="15"/>
    </row>
    <row r="29" spans="1:38">
      <c r="A29" s="171"/>
      <c r="B29" s="231" t="s">
        <v>790</v>
      </c>
      <c r="C29" s="170"/>
      <c r="D29" s="170"/>
      <c r="E29" s="170"/>
      <c r="F29" s="170"/>
      <c r="G29" s="170"/>
      <c r="H29" s="170"/>
      <c r="I29" s="170"/>
      <c r="J29" s="170"/>
      <c r="K29" s="170"/>
      <c r="L29" s="170"/>
      <c r="M29" s="170"/>
      <c r="N29" s="170"/>
      <c r="O29" s="170"/>
      <c r="P29" s="170"/>
      <c r="Q29" s="170"/>
      <c r="R29" s="170"/>
      <c r="S29" s="172"/>
      <c r="T29" s="4"/>
      <c r="AL29" s="15"/>
    </row>
    <row r="30" spans="1:38">
      <c r="A30" s="171"/>
      <c r="B30" s="170"/>
      <c r="C30" s="170"/>
      <c r="D30" s="170"/>
      <c r="E30" s="170"/>
      <c r="F30" s="170"/>
      <c r="G30" s="170"/>
      <c r="H30" s="170"/>
      <c r="I30" s="170"/>
      <c r="J30" s="170"/>
      <c r="K30" s="170"/>
      <c r="L30" s="170"/>
      <c r="M30" s="170"/>
      <c r="N30" s="170"/>
      <c r="O30" s="170"/>
      <c r="P30" s="170"/>
      <c r="Q30" s="170"/>
      <c r="R30" s="170"/>
      <c r="S30" s="172"/>
      <c r="T30" s="4"/>
      <c r="AL30" s="15"/>
    </row>
    <row r="31" spans="1:38">
      <c r="A31" s="171"/>
      <c r="B31" s="231" t="s">
        <v>791</v>
      </c>
      <c r="C31" s="170"/>
      <c r="D31" s="170"/>
      <c r="E31" s="170"/>
      <c r="F31" s="170"/>
      <c r="G31" s="170"/>
      <c r="H31" s="170"/>
      <c r="I31" s="170"/>
      <c r="J31" s="170"/>
      <c r="K31" s="170"/>
      <c r="L31" s="170"/>
      <c r="M31" s="170"/>
      <c r="N31" s="170"/>
      <c r="O31" s="170"/>
      <c r="P31" s="170"/>
      <c r="Q31" s="170"/>
      <c r="R31" s="170"/>
      <c r="S31" s="172"/>
      <c r="T31" s="4"/>
      <c r="AL31" s="15"/>
    </row>
    <row r="32" spans="1:38">
      <c r="A32" s="171"/>
      <c r="B32" s="231" t="s">
        <v>792</v>
      </c>
      <c r="C32" s="170"/>
      <c r="D32" s="170"/>
      <c r="E32" s="170"/>
      <c r="F32" s="170"/>
      <c r="G32" s="170"/>
      <c r="H32" s="170"/>
      <c r="I32" s="170"/>
      <c r="J32" s="170"/>
      <c r="K32" s="170"/>
      <c r="L32" s="170"/>
      <c r="M32" s="170"/>
      <c r="N32" s="170"/>
      <c r="O32" s="170"/>
      <c r="P32" s="170"/>
      <c r="Q32" s="170"/>
      <c r="R32" s="170"/>
      <c r="S32" s="172"/>
      <c r="T32" s="4"/>
      <c r="AL32" s="15"/>
    </row>
    <row r="33" spans="1:38">
      <c r="A33" s="171"/>
      <c r="B33" s="170"/>
      <c r="C33" s="170"/>
      <c r="D33" s="170"/>
      <c r="E33" s="170"/>
      <c r="F33" s="170"/>
      <c r="G33" s="170"/>
      <c r="H33" s="170"/>
      <c r="I33" s="170"/>
      <c r="J33" s="170"/>
      <c r="K33" s="170"/>
      <c r="L33" s="170"/>
      <c r="M33" s="170"/>
      <c r="N33" s="170"/>
      <c r="O33" s="170"/>
      <c r="P33" s="170"/>
      <c r="Q33" s="170"/>
      <c r="R33" s="170"/>
      <c r="S33" s="172"/>
      <c r="T33" s="4"/>
      <c r="AL33" s="15"/>
    </row>
    <row r="34" spans="1:38">
      <c r="A34" s="171"/>
      <c r="B34" s="231" t="s">
        <v>793</v>
      </c>
      <c r="C34" s="170"/>
      <c r="D34" s="170"/>
      <c r="E34" s="170"/>
      <c r="F34" s="170"/>
      <c r="G34" s="170"/>
      <c r="H34" s="170"/>
      <c r="I34" s="170"/>
      <c r="J34" s="170"/>
      <c r="K34" s="170"/>
      <c r="L34" s="170"/>
      <c r="M34" s="170"/>
      <c r="N34" s="170"/>
      <c r="O34" s="170"/>
      <c r="P34" s="170"/>
      <c r="Q34" s="170"/>
      <c r="R34" s="170"/>
      <c r="S34" s="172"/>
      <c r="T34" s="4"/>
      <c r="AL34" s="15"/>
    </row>
    <row r="35" spans="1:38">
      <c r="A35" s="171"/>
      <c r="B35" s="231" t="s">
        <v>794</v>
      </c>
      <c r="C35" s="170"/>
      <c r="D35" s="170"/>
      <c r="E35" s="170"/>
      <c r="F35" s="170"/>
      <c r="G35" s="170"/>
      <c r="H35" s="170"/>
      <c r="I35" s="170"/>
      <c r="J35" s="170"/>
      <c r="K35" s="170"/>
      <c r="L35" s="170"/>
      <c r="M35" s="170"/>
      <c r="N35" s="170"/>
      <c r="O35" s="170"/>
      <c r="P35" s="170"/>
      <c r="Q35" s="170"/>
      <c r="R35" s="170"/>
      <c r="S35" s="172"/>
      <c r="T35" s="4"/>
      <c r="AL35" s="15"/>
    </row>
    <row r="36" spans="1:38">
      <c r="A36" s="171"/>
      <c r="B36" s="231" t="s">
        <v>795</v>
      </c>
      <c r="C36" s="170"/>
      <c r="D36" s="170"/>
      <c r="E36" s="170"/>
      <c r="F36" s="170"/>
      <c r="G36" s="170"/>
      <c r="H36" s="170"/>
      <c r="I36" s="170"/>
      <c r="J36" s="170"/>
      <c r="K36" s="170"/>
      <c r="L36" s="170"/>
      <c r="M36" s="170"/>
      <c r="N36" s="170"/>
      <c r="O36" s="170"/>
      <c r="P36" s="170"/>
      <c r="Q36" s="170"/>
      <c r="R36" s="170"/>
      <c r="S36" s="172"/>
      <c r="T36" s="4"/>
      <c r="AL36" s="15"/>
    </row>
    <row r="37" spans="1:38">
      <c r="A37" s="171"/>
      <c r="B37" s="170"/>
      <c r="C37" s="170"/>
      <c r="D37" s="170"/>
      <c r="E37" s="170"/>
      <c r="F37" s="170"/>
      <c r="G37" s="170"/>
      <c r="H37" s="170"/>
      <c r="I37" s="170"/>
      <c r="J37" s="170"/>
      <c r="K37" s="170"/>
      <c r="L37" s="170"/>
      <c r="M37" s="170"/>
      <c r="N37" s="170"/>
      <c r="O37" s="170"/>
      <c r="P37" s="170"/>
      <c r="Q37" s="170"/>
      <c r="R37" s="170"/>
      <c r="S37" s="172"/>
      <c r="T37" s="4"/>
      <c r="AL37" s="15"/>
    </row>
    <row r="38" spans="1:38">
      <c r="A38" s="171"/>
      <c r="B38" s="170"/>
      <c r="C38" s="170"/>
      <c r="D38" s="170"/>
      <c r="E38" s="170"/>
      <c r="F38" s="170"/>
      <c r="G38" s="170"/>
      <c r="H38" s="170"/>
      <c r="I38" s="170"/>
      <c r="J38" s="170"/>
      <c r="K38" s="170"/>
      <c r="L38" s="170"/>
      <c r="M38" s="170"/>
      <c r="N38" s="170"/>
      <c r="O38" s="170"/>
      <c r="P38" s="170"/>
      <c r="Q38" s="170"/>
      <c r="R38" s="170"/>
      <c r="S38" s="172"/>
      <c r="T38" s="4"/>
      <c r="AL38" s="15"/>
    </row>
    <row r="39" spans="1:38">
      <c r="A39" s="171"/>
      <c r="B39" s="170"/>
      <c r="C39" s="170"/>
      <c r="D39" s="170"/>
      <c r="E39" s="170"/>
      <c r="F39" s="170"/>
      <c r="G39" s="170"/>
      <c r="H39" s="170"/>
      <c r="I39" s="170"/>
      <c r="J39" s="170"/>
      <c r="K39" s="170"/>
      <c r="L39" s="170"/>
      <c r="M39" s="170"/>
      <c r="N39" s="170"/>
      <c r="O39" s="170"/>
      <c r="P39" s="170"/>
      <c r="Q39" s="170"/>
      <c r="R39" s="170"/>
      <c r="S39" s="172"/>
      <c r="T39" s="4"/>
      <c r="AL39" s="15"/>
    </row>
    <row r="40" spans="1:38">
      <c r="A40" s="171"/>
      <c r="B40" s="170"/>
      <c r="C40" s="170"/>
      <c r="D40" s="170"/>
      <c r="E40" s="170"/>
      <c r="F40" s="170"/>
      <c r="G40" s="170"/>
      <c r="H40" s="170"/>
      <c r="I40" s="170"/>
      <c r="J40" s="170"/>
      <c r="K40" s="170"/>
      <c r="L40" s="170"/>
      <c r="M40" s="170"/>
      <c r="N40" s="170"/>
      <c r="O40" s="170"/>
      <c r="P40" s="170"/>
      <c r="Q40" s="170"/>
      <c r="R40" s="170"/>
      <c r="S40" s="172"/>
      <c r="T40" s="4"/>
      <c r="AL40" s="15"/>
    </row>
    <row r="41" spans="1:38">
      <c r="A41" s="171"/>
      <c r="B41" s="170"/>
      <c r="C41" s="170"/>
      <c r="D41" s="170"/>
      <c r="E41" s="170"/>
      <c r="F41" s="170"/>
      <c r="G41" s="170"/>
      <c r="H41" s="170"/>
      <c r="I41" s="170"/>
      <c r="J41" s="170"/>
      <c r="K41" s="170"/>
      <c r="L41" s="170"/>
      <c r="M41" s="170"/>
      <c r="N41" s="170"/>
      <c r="O41" s="170"/>
      <c r="P41" s="170"/>
      <c r="Q41" s="170"/>
      <c r="R41" s="170"/>
      <c r="S41" s="172"/>
      <c r="T41" s="4"/>
      <c r="AL41" s="15"/>
    </row>
    <row r="42" spans="1:38">
      <c r="A42" s="171"/>
      <c r="B42" s="170"/>
      <c r="C42" s="170"/>
      <c r="D42" s="170"/>
      <c r="E42" s="170"/>
      <c r="F42" s="170"/>
      <c r="G42" s="170"/>
      <c r="H42" s="170"/>
      <c r="I42" s="170"/>
      <c r="J42" s="170"/>
      <c r="K42" s="170"/>
      <c r="L42" s="170"/>
      <c r="M42" s="170"/>
      <c r="N42" s="170"/>
      <c r="O42" s="170"/>
      <c r="P42" s="170"/>
      <c r="Q42" s="170"/>
      <c r="R42" s="170"/>
      <c r="S42" s="172"/>
      <c r="T42" s="4"/>
      <c r="AL42" s="15"/>
    </row>
    <row r="43" spans="1:38">
      <c r="A43" s="171"/>
      <c r="B43" s="170"/>
      <c r="C43" s="170"/>
      <c r="D43" s="170"/>
      <c r="E43" s="170"/>
      <c r="F43" s="170"/>
      <c r="G43" s="170"/>
      <c r="H43" s="170"/>
      <c r="I43" s="170"/>
      <c r="J43" s="170"/>
      <c r="K43" s="170"/>
      <c r="L43" s="170"/>
      <c r="M43" s="170"/>
      <c r="N43" s="170"/>
      <c r="O43" s="170"/>
      <c r="P43" s="170"/>
      <c r="Q43" s="170"/>
      <c r="R43" s="170"/>
      <c r="S43" s="172"/>
      <c r="T43" s="4"/>
      <c r="AL43" s="15"/>
    </row>
    <row r="44" spans="1:38">
      <c r="A44" s="171"/>
      <c r="B44" s="170"/>
      <c r="C44" s="170"/>
      <c r="D44" s="170"/>
      <c r="E44" s="170"/>
      <c r="F44" s="170"/>
      <c r="G44" s="170"/>
      <c r="H44" s="170"/>
      <c r="I44" s="170"/>
      <c r="J44" s="170"/>
      <c r="K44" s="170"/>
      <c r="L44" s="170"/>
      <c r="M44" s="170"/>
      <c r="N44" s="170"/>
      <c r="O44" s="170"/>
      <c r="P44" s="170"/>
      <c r="Q44" s="170"/>
      <c r="R44" s="170"/>
      <c r="S44" s="172"/>
      <c r="T44" s="4"/>
      <c r="AL44" s="15"/>
    </row>
    <row r="45" spans="1:38">
      <c r="A45" s="171"/>
      <c r="B45" s="170"/>
      <c r="C45" s="170"/>
      <c r="D45" s="170"/>
      <c r="E45" s="170"/>
      <c r="F45" s="170"/>
      <c r="G45" s="170"/>
      <c r="H45" s="170"/>
      <c r="I45" s="170"/>
      <c r="J45" s="170"/>
      <c r="K45" s="170"/>
      <c r="L45" s="170"/>
      <c r="M45" s="170"/>
      <c r="N45" s="170"/>
      <c r="O45" s="170"/>
      <c r="P45" s="170"/>
      <c r="Q45" s="170"/>
      <c r="R45" s="170"/>
      <c r="S45" s="172"/>
      <c r="T45" s="4"/>
      <c r="V45" s="145"/>
      <c r="AL45" s="15"/>
    </row>
    <row r="46" spans="1:38">
      <c r="A46" s="171"/>
      <c r="B46" s="170"/>
      <c r="C46" s="170"/>
      <c r="D46" s="170"/>
      <c r="E46" s="170"/>
      <c r="F46" s="170"/>
      <c r="G46" s="170"/>
      <c r="H46" s="170"/>
      <c r="I46" s="170"/>
      <c r="J46" s="170"/>
      <c r="K46" s="170"/>
      <c r="L46" s="170"/>
      <c r="M46" s="170"/>
      <c r="N46" s="170"/>
      <c r="O46" s="170"/>
      <c r="P46" s="170"/>
      <c r="Q46" s="170"/>
      <c r="R46" s="170"/>
      <c r="S46" s="172"/>
      <c r="T46" s="4"/>
      <c r="AL46" s="15"/>
    </row>
    <row r="47" spans="1:38">
      <c r="A47" s="171"/>
      <c r="B47" s="170"/>
      <c r="C47" s="170"/>
      <c r="D47" s="170"/>
      <c r="E47" s="170"/>
      <c r="F47" s="170"/>
      <c r="G47" s="170"/>
      <c r="H47" s="170"/>
      <c r="I47" s="170"/>
      <c r="J47" s="170"/>
      <c r="K47" s="170"/>
      <c r="L47" s="170"/>
      <c r="M47" s="170"/>
      <c r="N47" s="170"/>
      <c r="O47" s="170"/>
      <c r="P47" s="170"/>
      <c r="Q47" s="170"/>
      <c r="R47" s="170"/>
      <c r="S47" s="172"/>
      <c r="T47" s="4"/>
      <c r="AL47" s="15"/>
    </row>
    <row r="48" spans="1:38">
      <c r="A48" s="171"/>
      <c r="B48" s="170"/>
      <c r="C48" s="170"/>
      <c r="D48" s="170"/>
      <c r="E48" s="170"/>
      <c r="F48" s="170"/>
      <c r="G48" s="170"/>
      <c r="H48" s="170"/>
      <c r="I48" s="170"/>
      <c r="J48" s="170"/>
      <c r="K48" s="170"/>
      <c r="L48" s="170"/>
      <c r="M48" s="170"/>
      <c r="N48" s="170"/>
      <c r="O48" s="170"/>
      <c r="P48" s="170"/>
      <c r="Q48" s="170"/>
      <c r="R48" s="170"/>
      <c r="S48" s="172"/>
      <c r="T48" s="4"/>
      <c r="AL48" s="15"/>
    </row>
    <row r="49" spans="1:38">
      <c r="A49" s="171"/>
      <c r="B49" s="170"/>
      <c r="C49" s="170"/>
      <c r="D49" s="170"/>
      <c r="E49" s="170"/>
      <c r="F49" s="170"/>
      <c r="G49" s="170"/>
      <c r="H49" s="170"/>
      <c r="I49" s="170"/>
      <c r="J49" s="170"/>
      <c r="K49" s="170"/>
      <c r="L49" s="170"/>
      <c r="M49" s="170"/>
      <c r="N49" s="170"/>
      <c r="O49" s="170"/>
      <c r="P49" s="170"/>
      <c r="Q49" s="170"/>
      <c r="R49" s="170"/>
      <c r="S49" s="172"/>
      <c r="T49" s="4"/>
      <c r="AL49" s="15"/>
    </row>
    <row r="50" spans="1:38">
      <c r="A50" s="171"/>
      <c r="B50" s="170"/>
      <c r="C50" s="170"/>
      <c r="D50" s="170"/>
      <c r="E50" s="170"/>
      <c r="F50" s="170"/>
      <c r="G50" s="170"/>
      <c r="H50" s="170"/>
      <c r="I50" s="170"/>
      <c r="J50" s="170"/>
      <c r="K50" s="170"/>
      <c r="L50" s="170"/>
      <c r="M50" s="170"/>
      <c r="N50" s="170"/>
      <c r="O50" s="170"/>
      <c r="P50" s="170"/>
      <c r="Q50" s="170"/>
      <c r="R50" s="170"/>
      <c r="S50" s="172"/>
      <c r="T50" s="4"/>
      <c r="AL50" s="15"/>
    </row>
    <row r="51" spans="1:38">
      <c r="A51" s="171"/>
      <c r="B51" s="170"/>
      <c r="C51" s="170"/>
      <c r="D51" s="170"/>
      <c r="E51" s="170"/>
      <c r="F51" s="170"/>
      <c r="G51" s="170"/>
      <c r="H51" s="170"/>
      <c r="I51" s="170"/>
      <c r="J51" s="170"/>
      <c r="K51" s="170"/>
      <c r="L51" s="170"/>
      <c r="M51" s="170"/>
      <c r="N51" s="170"/>
      <c r="O51" s="170"/>
      <c r="P51" s="170"/>
      <c r="Q51" s="170"/>
      <c r="R51" s="170"/>
      <c r="S51" s="172"/>
      <c r="T51" s="4"/>
      <c r="AL51" s="15"/>
    </row>
    <row r="52" spans="1:38">
      <c r="A52" s="171"/>
      <c r="B52" s="170"/>
      <c r="C52" s="170"/>
      <c r="D52" s="170"/>
      <c r="E52" s="170"/>
      <c r="F52" s="170"/>
      <c r="G52" s="170"/>
      <c r="H52" s="170"/>
      <c r="I52" s="170"/>
      <c r="J52" s="170"/>
      <c r="K52" s="170"/>
      <c r="L52" s="170"/>
      <c r="M52" s="170"/>
      <c r="N52" s="170"/>
      <c r="O52" s="170"/>
      <c r="P52" s="170"/>
      <c r="Q52" s="170"/>
      <c r="R52" s="170"/>
      <c r="S52" s="172"/>
      <c r="T52" s="4"/>
      <c r="AL52" s="15"/>
    </row>
    <row r="53" spans="1:38">
      <c r="A53" s="171"/>
      <c r="B53" s="170"/>
      <c r="C53" s="170"/>
      <c r="D53" s="170"/>
      <c r="E53" s="170"/>
      <c r="F53" s="170"/>
      <c r="G53" s="170"/>
      <c r="H53" s="170"/>
      <c r="I53" s="170"/>
      <c r="J53" s="170"/>
      <c r="K53" s="170"/>
      <c r="L53" s="170"/>
      <c r="M53" s="170"/>
      <c r="N53" s="170"/>
      <c r="O53" s="170"/>
      <c r="P53" s="170"/>
      <c r="Q53" s="170"/>
      <c r="R53" s="170"/>
      <c r="S53" s="172"/>
      <c r="T53" s="4"/>
      <c r="AL53" s="15"/>
    </row>
    <row r="54" spans="1:38">
      <c r="A54" s="171"/>
      <c r="B54" s="170"/>
      <c r="C54" s="170"/>
      <c r="D54" s="170"/>
      <c r="E54" s="170"/>
      <c r="F54" s="170"/>
      <c r="G54" s="170"/>
      <c r="H54" s="170"/>
      <c r="I54" s="170"/>
      <c r="J54" s="170"/>
      <c r="K54" s="170"/>
      <c r="L54" s="170"/>
      <c r="M54" s="170"/>
      <c r="N54" s="170"/>
      <c r="O54" s="170"/>
      <c r="P54" s="170"/>
      <c r="Q54" s="170"/>
      <c r="R54" s="170"/>
      <c r="S54" s="172"/>
      <c r="T54" s="4"/>
      <c r="AL54" s="15"/>
    </row>
    <row r="55" spans="1:38">
      <c r="A55" s="171"/>
      <c r="B55" s="170"/>
      <c r="C55" s="170"/>
      <c r="D55" s="170"/>
      <c r="E55" s="170"/>
      <c r="F55" s="170"/>
      <c r="G55" s="170"/>
      <c r="H55" s="170"/>
      <c r="I55" s="170"/>
      <c r="J55" s="170"/>
      <c r="K55" s="170"/>
      <c r="L55" s="170"/>
      <c r="M55" s="170"/>
      <c r="N55" s="170"/>
      <c r="O55" s="170"/>
      <c r="P55" s="170"/>
      <c r="Q55" s="170"/>
      <c r="R55" s="170"/>
      <c r="S55" s="172"/>
      <c r="T55" s="4"/>
      <c r="AL55" s="15"/>
    </row>
    <row r="56" spans="1:38">
      <c r="A56" s="171"/>
      <c r="B56" s="170"/>
      <c r="C56" s="170"/>
      <c r="D56" s="170"/>
      <c r="E56" s="170"/>
      <c r="F56" s="170"/>
      <c r="G56" s="170"/>
      <c r="H56" s="170"/>
      <c r="I56" s="170"/>
      <c r="J56" s="170"/>
      <c r="K56" s="170"/>
      <c r="L56" s="170"/>
      <c r="M56" s="170"/>
      <c r="N56" s="170"/>
      <c r="O56" s="170"/>
      <c r="P56" s="170"/>
      <c r="Q56" s="170"/>
      <c r="R56" s="170"/>
      <c r="S56" s="172"/>
      <c r="T56" s="4"/>
      <c r="AL56" s="15"/>
    </row>
    <row r="57" spans="1:38">
      <c r="A57" s="171"/>
      <c r="B57" s="170"/>
      <c r="C57" s="170"/>
      <c r="D57" s="170"/>
      <c r="E57" s="170"/>
      <c r="F57" s="170"/>
      <c r="G57" s="170"/>
      <c r="H57" s="170"/>
      <c r="I57" s="170"/>
      <c r="J57" s="170"/>
      <c r="K57" s="170"/>
      <c r="L57" s="170"/>
      <c r="M57" s="170"/>
      <c r="N57" s="170"/>
      <c r="O57" s="170"/>
      <c r="P57" s="170"/>
      <c r="Q57" s="170"/>
      <c r="R57" s="170"/>
      <c r="S57" s="172"/>
      <c r="T57" s="4"/>
      <c r="AL57" s="15"/>
    </row>
    <row r="58" spans="1:38">
      <c r="A58" s="171"/>
      <c r="B58" s="170"/>
      <c r="C58" s="170"/>
      <c r="D58" s="170"/>
      <c r="E58" s="170"/>
      <c r="F58" s="170"/>
      <c r="G58" s="170"/>
      <c r="H58" s="170"/>
      <c r="I58" s="170"/>
      <c r="J58" s="170"/>
      <c r="K58" s="170"/>
      <c r="L58" s="170"/>
      <c r="M58" s="170"/>
      <c r="N58" s="170"/>
      <c r="O58" s="170"/>
      <c r="P58" s="170"/>
      <c r="Q58" s="170"/>
      <c r="R58" s="170"/>
      <c r="S58" s="172"/>
      <c r="T58" s="4"/>
      <c r="AL58" s="15"/>
    </row>
    <row r="59" spans="1:38">
      <c r="A59" s="171"/>
      <c r="B59" s="170"/>
      <c r="C59" s="170"/>
      <c r="D59" s="170"/>
      <c r="E59" s="170"/>
      <c r="F59" s="170"/>
      <c r="G59" s="170"/>
      <c r="H59" s="170"/>
      <c r="I59" s="170"/>
      <c r="J59" s="170"/>
      <c r="K59" s="170"/>
      <c r="L59" s="170"/>
      <c r="M59" s="170"/>
      <c r="N59" s="170"/>
      <c r="O59" s="170"/>
      <c r="P59" s="170"/>
      <c r="Q59" s="170"/>
      <c r="R59" s="170"/>
      <c r="S59" s="172"/>
      <c r="T59" s="4"/>
      <c r="AL59" s="15"/>
    </row>
    <row r="60" spans="1:38">
      <c r="A60" s="171"/>
      <c r="B60" s="170"/>
      <c r="C60" s="170"/>
      <c r="D60" s="170"/>
      <c r="E60" s="170"/>
      <c r="F60" s="170"/>
      <c r="G60" s="170"/>
      <c r="H60" s="170"/>
      <c r="I60" s="170"/>
      <c r="J60" s="170"/>
      <c r="K60" s="170"/>
      <c r="L60" s="170"/>
      <c r="M60" s="170"/>
      <c r="N60" s="170"/>
      <c r="O60" s="170"/>
      <c r="P60" s="170"/>
      <c r="Q60" s="170"/>
      <c r="R60" s="170"/>
      <c r="S60" s="172"/>
      <c r="T60" s="4"/>
      <c r="AL60" s="15"/>
    </row>
    <row r="61" spans="1:38">
      <c r="A61" s="171"/>
      <c r="B61" s="170"/>
      <c r="C61" s="170"/>
      <c r="D61" s="170"/>
      <c r="E61" s="170"/>
      <c r="F61" s="170"/>
      <c r="G61" s="170"/>
      <c r="H61" s="170"/>
      <c r="I61" s="170"/>
      <c r="J61" s="170"/>
      <c r="K61" s="170"/>
      <c r="L61" s="170"/>
      <c r="M61" s="170"/>
      <c r="N61" s="170"/>
      <c r="O61" s="170"/>
      <c r="P61" s="170"/>
      <c r="Q61" s="170"/>
      <c r="R61" s="170"/>
      <c r="S61" s="172"/>
      <c r="T61" s="4"/>
      <c r="AL61" s="15"/>
    </row>
    <row r="62" spans="1:38">
      <c r="A62" s="171"/>
      <c r="B62" s="170"/>
      <c r="C62" s="170"/>
      <c r="D62" s="170"/>
      <c r="E62" s="170"/>
      <c r="F62" s="170"/>
      <c r="G62" s="170"/>
      <c r="H62" s="170"/>
      <c r="I62" s="170"/>
      <c r="J62" s="170"/>
      <c r="K62" s="170"/>
      <c r="L62" s="170"/>
      <c r="M62" s="170"/>
      <c r="N62" s="170"/>
      <c r="O62" s="170"/>
      <c r="P62" s="170"/>
      <c r="Q62" s="170"/>
      <c r="R62" s="170"/>
      <c r="S62" s="172"/>
      <c r="T62" s="4"/>
      <c r="AL62" s="15"/>
    </row>
    <row r="63" spans="1:38">
      <c r="A63" s="171"/>
      <c r="B63" s="170"/>
      <c r="C63" s="170"/>
      <c r="D63" s="170"/>
      <c r="E63" s="170"/>
      <c r="F63" s="170"/>
      <c r="G63" s="170"/>
      <c r="H63" s="170"/>
      <c r="I63" s="170"/>
      <c r="J63" s="170"/>
      <c r="K63" s="170"/>
      <c r="L63" s="170"/>
      <c r="M63" s="170"/>
      <c r="N63" s="170"/>
      <c r="O63" s="170"/>
      <c r="P63" s="170"/>
      <c r="Q63" s="170"/>
      <c r="R63" s="170"/>
      <c r="S63" s="172"/>
      <c r="T63" s="4"/>
      <c r="AL63" s="15"/>
    </row>
    <row r="64" spans="1:38">
      <c r="A64" s="171"/>
      <c r="B64" s="170"/>
      <c r="C64" s="170"/>
      <c r="D64" s="170"/>
      <c r="E64" s="170"/>
      <c r="F64" s="170"/>
      <c r="G64" s="170"/>
      <c r="H64" s="170"/>
      <c r="I64" s="170"/>
      <c r="J64" s="170"/>
      <c r="K64" s="170"/>
      <c r="L64" s="170"/>
      <c r="M64" s="170"/>
      <c r="N64" s="170"/>
      <c r="O64" s="170"/>
      <c r="P64" s="170"/>
      <c r="Q64" s="170"/>
      <c r="R64" s="170"/>
      <c r="S64" s="172"/>
      <c r="T64" s="4"/>
      <c r="AL64" s="15"/>
    </row>
    <row r="65" spans="1:38">
      <c r="A65" s="171"/>
      <c r="B65" s="170"/>
      <c r="C65" s="170"/>
      <c r="D65" s="170"/>
      <c r="E65" s="170"/>
      <c r="F65" s="170"/>
      <c r="G65" s="170"/>
      <c r="H65" s="170"/>
      <c r="I65" s="170"/>
      <c r="J65" s="170"/>
      <c r="K65" s="170"/>
      <c r="L65" s="170"/>
      <c r="M65" s="170"/>
      <c r="N65" s="170"/>
      <c r="O65" s="170"/>
      <c r="P65" s="170"/>
      <c r="Q65" s="170"/>
      <c r="R65" s="170"/>
      <c r="S65" s="172"/>
      <c r="T65" s="4"/>
      <c r="AL65" s="15"/>
    </row>
    <row r="66" spans="1:38">
      <c r="A66" s="171"/>
      <c r="B66" s="170"/>
      <c r="C66" s="170"/>
      <c r="D66" s="170"/>
      <c r="E66" s="170"/>
      <c r="F66" s="170"/>
      <c r="G66" s="170"/>
      <c r="H66" s="170"/>
      <c r="I66" s="170"/>
      <c r="J66" s="170"/>
      <c r="K66" s="170"/>
      <c r="L66" s="170"/>
      <c r="M66" s="170"/>
      <c r="N66" s="170"/>
      <c r="O66" s="170"/>
      <c r="P66" s="170"/>
      <c r="Q66" s="170"/>
      <c r="R66" s="170"/>
      <c r="S66" s="172"/>
      <c r="T66" s="4"/>
      <c r="AL66" s="15"/>
    </row>
    <row r="67" spans="1:38">
      <c r="A67" s="171"/>
      <c r="B67" s="170"/>
      <c r="C67" s="170"/>
      <c r="D67" s="170"/>
      <c r="E67" s="170"/>
      <c r="F67" s="170"/>
      <c r="G67" s="170"/>
      <c r="H67" s="170"/>
      <c r="I67" s="170"/>
      <c r="J67" s="170"/>
      <c r="K67" s="170"/>
      <c r="L67" s="170"/>
      <c r="M67" s="170"/>
      <c r="N67" s="170"/>
      <c r="O67" s="170"/>
      <c r="P67" s="170"/>
      <c r="Q67" s="170"/>
      <c r="R67" s="170"/>
      <c r="S67" s="172"/>
      <c r="T67" s="4"/>
      <c r="AL67" s="15"/>
    </row>
    <row r="68" spans="1:38">
      <c r="A68" s="171"/>
      <c r="B68" s="170"/>
      <c r="C68" s="170"/>
      <c r="D68" s="170"/>
      <c r="E68" s="170"/>
      <c r="F68" s="170"/>
      <c r="G68" s="170"/>
      <c r="H68" s="170"/>
      <c r="I68" s="170"/>
      <c r="J68" s="170"/>
      <c r="K68" s="170"/>
      <c r="L68" s="170"/>
      <c r="M68" s="170"/>
      <c r="N68" s="170"/>
      <c r="O68" s="170"/>
      <c r="P68" s="170"/>
      <c r="Q68" s="170"/>
      <c r="R68" s="170"/>
      <c r="S68" s="172"/>
      <c r="T68" s="4"/>
      <c r="AL68" s="15"/>
    </row>
    <row r="69" spans="1:38">
      <c r="A69" s="171"/>
      <c r="B69" s="170"/>
      <c r="C69" s="170"/>
      <c r="D69" s="170"/>
      <c r="E69" s="170"/>
      <c r="F69" s="170"/>
      <c r="G69" s="170"/>
      <c r="H69" s="170"/>
      <c r="I69" s="170"/>
      <c r="J69" s="170"/>
      <c r="K69" s="170"/>
      <c r="L69" s="170"/>
      <c r="M69" s="170"/>
      <c r="N69" s="170"/>
      <c r="O69" s="170"/>
      <c r="P69" s="170"/>
      <c r="Q69" s="170"/>
      <c r="R69" s="170"/>
      <c r="S69" s="172"/>
      <c r="T69" s="4"/>
      <c r="AL69" s="15"/>
    </row>
    <row r="70" spans="1:38">
      <c r="A70" s="171"/>
      <c r="B70" s="170"/>
      <c r="C70" s="170"/>
      <c r="D70" s="170"/>
      <c r="E70" s="170"/>
      <c r="F70" s="170"/>
      <c r="G70" s="170"/>
      <c r="H70" s="170"/>
      <c r="I70" s="170"/>
      <c r="J70" s="170"/>
      <c r="K70" s="170"/>
      <c r="L70" s="170"/>
      <c r="M70" s="170"/>
      <c r="N70" s="170"/>
      <c r="O70" s="170"/>
      <c r="P70" s="170"/>
      <c r="Q70" s="170"/>
      <c r="R70" s="170"/>
      <c r="S70" s="172"/>
      <c r="T70" s="4"/>
      <c r="AL70" s="15"/>
    </row>
    <row r="71" spans="1:38">
      <c r="A71" s="171"/>
      <c r="B71" s="231" t="s">
        <v>796</v>
      </c>
      <c r="C71" s="170"/>
      <c r="D71" s="170"/>
      <c r="E71" s="170"/>
      <c r="F71" s="170"/>
      <c r="G71" s="170"/>
      <c r="H71" s="170"/>
      <c r="I71" s="170"/>
      <c r="J71" s="170"/>
      <c r="K71" s="170"/>
      <c r="L71" s="170"/>
      <c r="M71" s="170"/>
      <c r="N71" s="170"/>
      <c r="O71" s="170"/>
      <c r="P71" s="170"/>
      <c r="Q71" s="170"/>
      <c r="R71" s="170"/>
      <c r="S71" s="172"/>
      <c r="T71" s="4"/>
      <c r="AL71" s="15"/>
    </row>
    <row r="72" spans="1:38">
      <c r="A72" s="171"/>
      <c r="B72" s="231" t="s">
        <v>797</v>
      </c>
      <c r="C72" s="170"/>
      <c r="D72" s="170"/>
      <c r="E72" s="170"/>
      <c r="F72" s="170"/>
      <c r="G72" s="170"/>
      <c r="H72" s="170"/>
      <c r="I72" s="170"/>
      <c r="J72" s="170"/>
      <c r="K72" s="170"/>
      <c r="L72" s="170"/>
      <c r="M72" s="170"/>
      <c r="N72" s="170"/>
      <c r="O72" s="170"/>
      <c r="P72" s="170"/>
      <c r="Q72" s="170"/>
      <c r="R72" s="170"/>
      <c r="S72" s="172"/>
      <c r="T72" s="4"/>
      <c r="AL72" s="15"/>
    </row>
    <row r="73" spans="1:38">
      <c r="A73" s="232"/>
      <c r="B73" s="173"/>
      <c r="C73" s="173"/>
      <c r="D73" s="173"/>
      <c r="E73" s="173"/>
      <c r="F73" s="173"/>
      <c r="G73" s="173"/>
      <c r="H73" s="173"/>
      <c r="I73" s="173"/>
      <c r="J73" s="173"/>
      <c r="K73" s="173"/>
      <c r="L73" s="173"/>
      <c r="M73" s="173"/>
      <c r="N73" s="173"/>
      <c r="O73" s="173"/>
      <c r="P73" s="173"/>
      <c r="Q73" s="173"/>
      <c r="R73" s="173"/>
      <c r="S73" s="174"/>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1Km8VdTTzyUkQXQuINFHzjiZPUDMoFurjj8zRU2DIn2DpjwBSMX1nFYBhRIIbr/gxfeWntyfhqHdym2vKsIWxA==" saltValue="27a6HF9K2xVyCIjS5r4v1Q==" spinCount="100000" sheet="1" scenarios="1" insertHyperlinks="0"/>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zoomScaleNormal="100" zoomScaleSheetLayoutView="100" workbookViewId="0">
      <selection sqref="A1:S1"/>
    </sheetView>
  </sheetViews>
  <sheetFormatPr baseColWidth="10" defaultColWidth="11.46484375" defaultRowHeight="12.75"/>
  <cols>
    <col min="1" max="1" width="5" customWidth="1"/>
    <col min="2" max="2" width="6.1328125" customWidth="1"/>
    <col min="3" max="38" width="5" customWidth="1"/>
  </cols>
  <sheetData>
    <row r="1" spans="1:38" ht="13.15">
      <c r="A1" s="1087" t="s">
        <v>798</v>
      </c>
      <c r="B1" s="1087"/>
      <c r="C1" s="1087"/>
      <c r="D1" s="1087"/>
      <c r="E1" s="1087"/>
      <c r="F1" s="1087"/>
      <c r="G1" s="1087"/>
      <c r="H1" s="1087"/>
      <c r="I1" s="1087"/>
      <c r="J1" s="1087"/>
      <c r="K1" s="1087"/>
      <c r="L1" s="1087"/>
      <c r="M1" s="1087"/>
      <c r="N1" s="1087"/>
      <c r="O1" s="1087"/>
      <c r="P1" s="1087"/>
      <c r="Q1" s="1087"/>
      <c r="R1" s="1087"/>
      <c r="S1" s="1087"/>
      <c r="T1" s="146"/>
      <c r="U1" s="104"/>
      <c r="V1" s="104"/>
      <c r="W1" s="104"/>
      <c r="X1" s="104"/>
      <c r="Y1" s="104"/>
      <c r="Z1" s="104"/>
      <c r="AA1" s="104"/>
      <c r="AB1" s="104"/>
      <c r="AC1" s="104"/>
      <c r="AD1" s="104"/>
      <c r="AE1" s="104"/>
      <c r="AF1" s="104"/>
      <c r="AG1" s="104"/>
      <c r="AH1" s="104"/>
      <c r="AI1" s="104"/>
      <c r="AJ1" s="104"/>
      <c r="AK1" s="104"/>
      <c r="AL1" s="104"/>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04"/>
    </row>
    <row r="3" spans="1:38">
      <c r="A3" s="171"/>
      <c r="B3" s="231" t="s">
        <v>799</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04"/>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04"/>
    </row>
    <row r="5" spans="1:38">
      <c r="A5" s="171"/>
      <c r="B5" s="231" t="s">
        <v>800</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04"/>
    </row>
    <row r="6" spans="1:38">
      <c r="A6" s="171"/>
      <c r="B6" s="231" t="s">
        <v>801</v>
      </c>
      <c r="C6" s="170"/>
      <c r="D6" s="170"/>
      <c r="E6" s="170"/>
      <c r="F6" s="170"/>
      <c r="G6" s="170"/>
      <c r="H6" s="170"/>
      <c r="I6" s="170"/>
      <c r="J6" s="170"/>
      <c r="K6" s="170"/>
      <c r="L6" s="170"/>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04"/>
    </row>
    <row r="7" spans="1:38">
      <c r="A7" s="171"/>
      <c r="B7" s="231" t="s">
        <v>802</v>
      </c>
      <c r="C7" s="170"/>
      <c r="D7" s="170"/>
      <c r="E7" s="170"/>
      <c r="F7" s="170"/>
      <c r="G7" s="170"/>
      <c r="H7" s="170"/>
      <c r="I7" s="170"/>
      <c r="J7" s="170"/>
      <c r="K7" s="170"/>
      <c r="L7" s="170"/>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04"/>
    </row>
    <row r="8" spans="1:38">
      <c r="A8" s="171"/>
      <c r="B8" s="231"/>
      <c r="C8" s="170"/>
      <c r="D8" s="170"/>
      <c r="E8" s="170"/>
      <c r="F8" s="170"/>
      <c r="G8" s="170"/>
      <c r="H8" s="170"/>
      <c r="I8" s="170"/>
      <c r="J8" s="170"/>
      <c r="K8" s="170"/>
      <c r="L8" s="512"/>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04"/>
    </row>
    <row r="9" spans="1:38">
      <c r="A9" s="171"/>
      <c r="B9" s="231" t="s">
        <v>803</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04"/>
    </row>
    <row r="10" spans="1:38">
      <c r="A10" s="171"/>
      <c r="B10" s="231" t="s">
        <v>804</v>
      </c>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04"/>
    </row>
    <row r="11" spans="1:38">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04"/>
    </row>
    <row r="12" spans="1:38">
      <c r="A12" s="171"/>
      <c r="B12" s="231" t="s">
        <v>805</v>
      </c>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04"/>
    </row>
    <row r="13" spans="1:38">
      <c r="A13" s="171"/>
      <c r="B13" s="231" t="s">
        <v>806</v>
      </c>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04"/>
    </row>
    <row r="14" spans="1:38">
      <c r="A14" s="171"/>
      <c r="B14" s="170"/>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04"/>
    </row>
    <row r="15" spans="1:38">
      <c r="A15" s="171"/>
      <c r="B15" s="8" t="s">
        <v>786</v>
      </c>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04"/>
    </row>
    <row r="16" spans="1:38">
      <c r="A16" s="171"/>
      <c r="B16" s="8" t="s">
        <v>807</v>
      </c>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04"/>
    </row>
    <row r="17" spans="1:38">
      <c r="A17" s="171"/>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04"/>
    </row>
    <row r="18" spans="1:38">
      <c r="A18" s="171"/>
      <c r="B18" s="231" t="s">
        <v>808</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04"/>
    </row>
    <row r="19" spans="1:38">
      <c r="A19" s="171"/>
      <c r="B19" s="231" t="s">
        <v>809</v>
      </c>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04"/>
    </row>
    <row r="20" spans="1:38">
      <c r="A20" s="171"/>
      <c r="B20" s="170"/>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04"/>
    </row>
    <row r="21" spans="1:38">
      <c r="A21" s="171"/>
      <c r="B21" s="233" t="s">
        <v>810</v>
      </c>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04"/>
    </row>
    <row r="22" spans="1:38">
      <c r="A22" s="171"/>
      <c r="B22" s="23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04"/>
    </row>
    <row r="23" spans="1:38">
      <c r="A23" s="171"/>
      <c r="B23" s="170"/>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04"/>
    </row>
    <row r="24" spans="1:38">
      <c r="A24" s="171"/>
      <c r="B24" s="231"/>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04"/>
    </row>
    <row r="25" spans="1:38">
      <c r="A25" s="171"/>
      <c r="B25" s="231"/>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04"/>
    </row>
    <row r="26" spans="1:38">
      <c r="A26" s="171"/>
      <c r="B26" s="231"/>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04"/>
    </row>
    <row r="27" spans="1:38">
      <c r="A27" s="171"/>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04"/>
    </row>
    <row r="28" spans="1:38">
      <c r="A28" s="171"/>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04"/>
    </row>
    <row r="29" spans="1:38">
      <c r="A29" s="171"/>
      <c r="C29" s="170"/>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04"/>
    </row>
    <row r="30" spans="1:38">
      <c r="A30" s="171"/>
      <c r="B30" s="170"/>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04"/>
    </row>
    <row r="31" spans="1:38">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04"/>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04"/>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04"/>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04"/>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04"/>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04"/>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04"/>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04"/>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04"/>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04"/>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04"/>
    </row>
    <row r="42" spans="1:38">
      <c r="A42" s="171"/>
      <c r="B42" s="231" t="s">
        <v>796</v>
      </c>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04"/>
    </row>
    <row r="43" spans="1:38">
      <c r="A43" s="171"/>
      <c r="B43" s="231" t="s">
        <v>797</v>
      </c>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04"/>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04"/>
    </row>
    <row r="45" spans="1:38">
      <c r="A45" s="171"/>
      <c r="B45" s="226" t="s">
        <v>757</v>
      </c>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04"/>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04"/>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04"/>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04"/>
    </row>
    <row r="49" spans="1:38">
      <c r="A49" s="171"/>
      <c r="B49" s="231"/>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04"/>
    </row>
    <row r="50" spans="1:38">
      <c r="A50" s="171"/>
      <c r="B50" s="231"/>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04"/>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04"/>
    </row>
    <row r="52" spans="1:38">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04"/>
    </row>
    <row r="53" spans="1:38">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04"/>
    </row>
    <row r="54" spans="1:38">
      <c r="A54" s="171"/>
      <c r="B54" s="170"/>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04"/>
    </row>
    <row r="55" spans="1:38">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04"/>
    </row>
    <row r="56" spans="1:38">
      <c r="A56" s="171"/>
      <c r="B56" s="231"/>
      <c r="C56" s="170"/>
      <c r="D56" s="170"/>
      <c r="E56" s="170"/>
      <c r="F56" s="170"/>
      <c r="G56" s="170"/>
      <c r="H56" s="170"/>
      <c r="I56" s="170"/>
      <c r="J56" s="170"/>
      <c r="K56" s="170"/>
      <c r="L56" s="170"/>
      <c r="M56" s="170"/>
      <c r="N56" s="170"/>
      <c r="O56" s="170"/>
      <c r="P56" s="170"/>
      <c r="Q56" s="170"/>
      <c r="R56" s="170"/>
      <c r="S56" s="172"/>
      <c r="T56" s="146"/>
      <c r="U56" s="104"/>
      <c r="V56" s="104"/>
      <c r="W56" s="104"/>
      <c r="X56" s="104"/>
      <c r="Y56" s="104"/>
      <c r="Z56" s="104"/>
      <c r="AA56" s="104"/>
      <c r="AB56" s="104"/>
      <c r="AC56" s="104"/>
      <c r="AD56" s="104"/>
      <c r="AE56" s="104"/>
      <c r="AF56" s="104"/>
      <c r="AG56" s="104"/>
      <c r="AH56" s="104"/>
      <c r="AI56" s="104"/>
      <c r="AJ56" s="104"/>
      <c r="AK56" s="104"/>
      <c r="AL56" s="104"/>
    </row>
    <row r="57" spans="1:38">
      <c r="A57" s="232"/>
      <c r="B57" s="173"/>
      <c r="C57" s="173"/>
      <c r="D57" s="173"/>
      <c r="E57" s="173"/>
      <c r="F57" s="173"/>
      <c r="G57" s="173"/>
      <c r="H57" s="173"/>
      <c r="I57" s="173"/>
      <c r="J57" s="173"/>
      <c r="K57" s="173"/>
      <c r="L57" s="173"/>
      <c r="M57" s="173"/>
      <c r="N57" s="173"/>
      <c r="O57" s="173"/>
      <c r="P57" s="173"/>
      <c r="Q57" s="173"/>
      <c r="R57" s="173"/>
      <c r="S57" s="174"/>
      <c r="T57" s="146"/>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cWGwnwKiuzpziQYlhLmDzWW4MgerLoSt9DohtbK5Cio8+fCoYSZcrO7zdjlwkpL0Pz1tvVmKv209vD0raVVn2w==" saltValue="8pPGc7fV5UbY4bHs7bqCWA==" spinCount="100000" sheet="1" scenarios="1" insertHyperlinks="0"/>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46484375" defaultRowHeight="12.75"/>
  <cols>
    <col min="1" max="21" width="5" customWidth="1"/>
    <col min="22" max="22" width="6.46484375" customWidth="1"/>
    <col min="23" max="38" width="5" customWidth="1"/>
  </cols>
  <sheetData>
    <row r="1" spans="1:38" ht="13.15">
      <c r="A1" s="1087" t="s">
        <v>811</v>
      </c>
      <c r="B1" s="1087"/>
      <c r="C1" s="1087"/>
      <c r="D1" s="1087"/>
      <c r="E1" s="1087"/>
      <c r="F1" s="1087"/>
      <c r="G1" s="1087"/>
      <c r="H1" s="1087"/>
      <c r="I1" s="1087"/>
      <c r="J1" s="1087"/>
      <c r="K1" s="1087"/>
      <c r="L1" s="1087"/>
      <c r="M1" s="1087"/>
      <c r="N1" s="1087"/>
      <c r="O1" s="1087"/>
      <c r="P1" s="1087"/>
      <c r="Q1" s="1087"/>
      <c r="R1" s="1087"/>
      <c r="S1" s="1087"/>
      <c r="T1" s="58"/>
      <c r="U1" s="2"/>
      <c r="V1" s="2"/>
      <c r="W1" s="2"/>
      <c r="X1" s="2"/>
      <c r="Y1" s="2"/>
      <c r="Z1" s="2"/>
      <c r="AA1" s="2"/>
      <c r="AB1" s="2"/>
      <c r="AC1" s="2"/>
      <c r="AD1" s="2"/>
      <c r="AE1" s="2"/>
      <c r="AF1" s="2"/>
      <c r="AG1" s="2"/>
      <c r="AH1" s="2"/>
      <c r="AI1" s="2"/>
      <c r="AJ1" s="2"/>
      <c r="AK1" s="2"/>
      <c r="AL1" s="136"/>
    </row>
    <row r="2" spans="1:38">
      <c r="A2" s="228"/>
      <c r="B2" s="229"/>
      <c r="C2" s="229"/>
      <c r="D2" s="229"/>
      <c r="E2" s="229"/>
      <c r="F2" s="229"/>
      <c r="G2" s="229"/>
      <c r="H2" s="229"/>
      <c r="I2" s="229"/>
      <c r="J2" s="229"/>
      <c r="K2" s="229"/>
      <c r="L2" s="229"/>
      <c r="M2" s="229"/>
      <c r="N2" s="229"/>
      <c r="O2" s="229"/>
      <c r="P2" s="229"/>
      <c r="Q2" s="229"/>
      <c r="R2" s="229"/>
      <c r="S2" s="230"/>
      <c r="T2" s="4"/>
      <c r="AL2" s="15"/>
    </row>
    <row r="3" spans="1:38">
      <c r="A3" s="171"/>
      <c r="B3" s="231" t="s">
        <v>812</v>
      </c>
      <c r="C3" s="170"/>
      <c r="D3" s="170"/>
      <c r="E3" s="170"/>
      <c r="F3" s="170"/>
      <c r="G3" s="170"/>
      <c r="H3" s="170"/>
      <c r="I3" s="170"/>
      <c r="J3" s="170"/>
      <c r="K3" s="170"/>
      <c r="L3" s="170"/>
      <c r="M3" s="170"/>
      <c r="N3" s="170"/>
      <c r="O3" s="170"/>
      <c r="P3" s="170"/>
      <c r="Q3" s="170"/>
      <c r="R3" s="170"/>
      <c r="S3" s="172"/>
      <c r="T3" s="4"/>
      <c r="AL3" s="15"/>
    </row>
    <row r="4" spans="1:38">
      <c r="A4" s="171"/>
      <c r="B4" s="231"/>
      <c r="C4" s="170"/>
      <c r="D4" s="170"/>
      <c r="E4" s="170"/>
      <c r="F4" s="170"/>
      <c r="G4" s="170"/>
      <c r="H4" s="170"/>
      <c r="I4" s="170"/>
      <c r="J4" s="170"/>
      <c r="K4" s="170"/>
      <c r="L4" s="170"/>
      <c r="M4" s="170"/>
      <c r="N4" s="170"/>
      <c r="O4" s="170"/>
      <c r="P4" s="170"/>
      <c r="Q4" s="170"/>
      <c r="R4" s="170"/>
      <c r="S4" s="172"/>
      <c r="T4" s="4"/>
      <c r="AL4" s="15"/>
    </row>
    <row r="5" spans="1:38">
      <c r="A5" s="171"/>
      <c r="B5" s="231" t="s">
        <v>813</v>
      </c>
      <c r="C5" s="170"/>
      <c r="D5" s="170"/>
      <c r="E5" s="170"/>
      <c r="F5" s="170"/>
      <c r="G5" s="170"/>
      <c r="H5" s="170"/>
      <c r="I5" s="170"/>
      <c r="J5" s="170"/>
      <c r="K5" s="170"/>
      <c r="L5" s="170"/>
      <c r="M5" s="170"/>
      <c r="N5" s="170"/>
      <c r="O5" s="170"/>
      <c r="P5" s="170"/>
      <c r="Q5" s="170"/>
      <c r="R5" s="170"/>
      <c r="S5" s="172"/>
      <c r="T5" s="4"/>
      <c r="AL5" s="15"/>
    </row>
    <row r="6" spans="1:38">
      <c r="A6" s="171"/>
      <c r="B6" s="231" t="s">
        <v>814</v>
      </c>
      <c r="C6" s="170"/>
      <c r="D6" s="170"/>
      <c r="E6" s="170"/>
      <c r="F6" s="170"/>
      <c r="G6" s="170"/>
      <c r="H6" s="170"/>
      <c r="J6" s="170"/>
      <c r="K6" s="170"/>
      <c r="L6" s="170"/>
      <c r="M6" s="170"/>
      <c r="N6" s="170"/>
      <c r="O6" s="170"/>
      <c r="P6" s="170"/>
      <c r="Q6" s="170"/>
      <c r="R6" s="170"/>
      <c r="S6" s="172"/>
      <c r="T6" s="4"/>
      <c r="AL6" s="15"/>
    </row>
    <row r="7" spans="1:38">
      <c r="A7" s="171"/>
      <c r="B7" s="231"/>
      <c r="C7" s="170"/>
      <c r="D7" s="170"/>
      <c r="E7" s="170"/>
      <c r="F7" s="170"/>
      <c r="G7" s="170"/>
      <c r="H7" s="170"/>
      <c r="I7" s="170"/>
      <c r="J7" s="170"/>
      <c r="K7" s="170"/>
      <c r="L7" s="512"/>
      <c r="M7" s="170"/>
      <c r="N7" s="170"/>
      <c r="O7" s="170"/>
      <c r="P7" s="170"/>
      <c r="Q7" s="170"/>
      <c r="R7" s="170"/>
      <c r="S7" s="172"/>
      <c r="T7" s="4"/>
      <c r="AL7" s="15"/>
    </row>
    <row r="8" spans="1:38">
      <c r="A8" s="171"/>
      <c r="B8" s="231" t="s">
        <v>815</v>
      </c>
      <c r="C8" s="170"/>
      <c r="D8" s="170"/>
      <c r="E8" s="170"/>
      <c r="F8" s="170"/>
      <c r="G8" s="170"/>
      <c r="H8" s="170"/>
      <c r="I8" s="170"/>
      <c r="J8" s="170"/>
      <c r="K8" s="170"/>
      <c r="L8" s="170"/>
      <c r="M8" s="170"/>
      <c r="N8" s="170"/>
      <c r="O8" s="170"/>
      <c r="P8" s="170"/>
      <c r="Q8" s="170"/>
      <c r="R8" s="170"/>
      <c r="S8" s="172"/>
      <c r="T8" s="4"/>
      <c r="AL8" s="15"/>
    </row>
    <row r="9" spans="1:38">
      <c r="A9" s="171"/>
      <c r="B9" s="231" t="s">
        <v>816</v>
      </c>
      <c r="C9" s="170"/>
      <c r="D9" s="170"/>
      <c r="E9" s="170"/>
      <c r="F9" s="170"/>
      <c r="G9" s="170"/>
      <c r="H9" s="170"/>
      <c r="I9" s="170"/>
      <c r="J9" s="170"/>
      <c r="K9" s="170"/>
      <c r="L9" s="170"/>
      <c r="M9" s="170"/>
      <c r="N9" s="170"/>
      <c r="O9" s="170"/>
      <c r="P9" s="170"/>
      <c r="Q9" s="170"/>
      <c r="R9" s="170"/>
      <c r="S9" s="172"/>
      <c r="T9" s="4"/>
      <c r="AL9" s="15"/>
    </row>
    <row r="10" spans="1:38">
      <c r="A10" s="171"/>
      <c r="B10" s="231"/>
      <c r="C10" s="170"/>
      <c r="D10" s="170"/>
      <c r="E10" s="170"/>
      <c r="F10" s="170"/>
      <c r="G10" s="170"/>
      <c r="H10" s="170"/>
      <c r="I10" s="170"/>
      <c r="J10" s="170"/>
      <c r="K10" s="170"/>
      <c r="L10" s="170"/>
      <c r="M10" s="170"/>
      <c r="N10" s="170"/>
      <c r="O10" s="170"/>
      <c r="P10" s="170"/>
      <c r="Q10" s="170"/>
      <c r="R10" s="170"/>
      <c r="S10" s="172"/>
      <c r="T10" s="4"/>
      <c r="AL10" s="15"/>
    </row>
    <row r="11" spans="1:38">
      <c r="A11" s="171"/>
      <c r="B11" s="231"/>
      <c r="C11" s="170"/>
      <c r="D11" s="170"/>
      <c r="E11" s="170"/>
      <c r="F11" s="170"/>
      <c r="G11" s="170"/>
      <c r="H11" s="170"/>
      <c r="I11" s="170"/>
      <c r="J11" s="170"/>
      <c r="K11" s="170"/>
      <c r="L11" s="170"/>
      <c r="M11" s="170"/>
      <c r="N11" s="170"/>
      <c r="O11" s="170"/>
      <c r="P11" s="170"/>
      <c r="Q11" s="170"/>
      <c r="R11" s="170"/>
      <c r="S11" s="172"/>
      <c r="T11" s="4"/>
      <c r="AL11" s="15"/>
    </row>
    <row r="12" spans="1:38">
      <c r="A12" s="171"/>
      <c r="B12" s="231"/>
      <c r="C12" s="170"/>
      <c r="D12" s="170"/>
      <c r="E12" s="170"/>
      <c r="F12" s="170"/>
      <c r="G12" s="170"/>
      <c r="H12" s="170"/>
      <c r="I12" s="170"/>
      <c r="J12" s="170"/>
      <c r="K12" s="170"/>
      <c r="L12" s="170"/>
      <c r="M12" s="170"/>
      <c r="N12" s="170"/>
      <c r="O12" s="170"/>
      <c r="P12" s="170"/>
      <c r="Q12" s="170"/>
      <c r="R12" s="170"/>
      <c r="S12" s="172"/>
      <c r="T12" s="4"/>
      <c r="AL12" s="15"/>
    </row>
    <row r="13" spans="1:38">
      <c r="A13" s="171"/>
      <c r="B13" s="231"/>
      <c r="C13" s="170"/>
      <c r="D13" s="170"/>
      <c r="E13" s="170"/>
      <c r="F13" s="170"/>
      <c r="G13" s="170"/>
      <c r="H13" s="170"/>
      <c r="I13" s="170"/>
      <c r="J13" s="170"/>
      <c r="K13" s="170"/>
      <c r="L13" s="170"/>
      <c r="M13" s="170"/>
      <c r="N13" s="170"/>
      <c r="O13" s="170"/>
      <c r="P13" s="170"/>
      <c r="Q13" s="170"/>
      <c r="R13" s="170"/>
      <c r="S13" s="172"/>
      <c r="T13" s="4"/>
      <c r="AL13" s="15"/>
    </row>
    <row r="14" spans="1:38">
      <c r="A14" s="171"/>
      <c r="B14" s="231"/>
      <c r="C14" s="170"/>
      <c r="D14" s="170"/>
      <c r="E14" s="170"/>
      <c r="F14" s="170"/>
      <c r="G14" s="170"/>
      <c r="H14" s="170"/>
      <c r="I14" s="170"/>
      <c r="J14" s="170"/>
      <c r="K14" s="170"/>
      <c r="L14" s="170"/>
      <c r="M14" s="170"/>
      <c r="N14" s="170"/>
      <c r="O14" s="170"/>
      <c r="P14" s="170"/>
      <c r="Q14" s="170"/>
      <c r="R14" s="170"/>
      <c r="S14" s="172"/>
      <c r="T14" s="4"/>
      <c r="AL14" s="15"/>
    </row>
    <row r="15" spans="1:38">
      <c r="A15" s="171"/>
      <c r="B15" s="170"/>
      <c r="C15" s="170"/>
      <c r="D15" s="170"/>
      <c r="E15" s="170"/>
      <c r="F15" s="170"/>
      <c r="G15" s="170"/>
      <c r="H15" s="170"/>
      <c r="I15" s="170"/>
      <c r="J15" s="170"/>
      <c r="K15" s="170"/>
      <c r="L15" s="170"/>
      <c r="M15" s="170"/>
      <c r="N15" s="170"/>
      <c r="O15" s="170"/>
      <c r="P15" s="170"/>
      <c r="Q15" s="170"/>
      <c r="R15" s="170"/>
      <c r="S15" s="172"/>
      <c r="T15" s="4"/>
      <c r="AL15" s="15"/>
    </row>
    <row r="16" spans="1:38">
      <c r="A16" s="171"/>
      <c r="B16" s="8"/>
      <c r="C16" s="170"/>
      <c r="D16" s="170"/>
      <c r="E16" s="170"/>
      <c r="F16" s="170"/>
      <c r="G16" s="170"/>
      <c r="H16" s="170"/>
      <c r="I16" s="170"/>
      <c r="J16" s="170"/>
      <c r="K16" s="170"/>
      <c r="L16" s="170"/>
      <c r="M16" s="170"/>
      <c r="N16" s="170"/>
      <c r="O16" s="170"/>
      <c r="P16" s="170"/>
      <c r="Q16" s="170"/>
      <c r="R16" s="170"/>
      <c r="S16" s="172"/>
      <c r="T16" s="4"/>
      <c r="AL16" s="15"/>
    </row>
    <row r="17" spans="1:38">
      <c r="A17" s="171"/>
      <c r="B17" s="8"/>
      <c r="C17" s="170"/>
      <c r="D17" s="170"/>
      <c r="E17" s="170"/>
      <c r="F17" s="170"/>
      <c r="G17" s="170"/>
      <c r="H17" s="170"/>
      <c r="I17" s="170"/>
      <c r="J17" s="170"/>
      <c r="K17" s="170"/>
      <c r="L17" s="170"/>
      <c r="M17" s="170"/>
      <c r="N17" s="170"/>
      <c r="O17" s="170"/>
      <c r="P17" s="170"/>
      <c r="Q17" s="170"/>
      <c r="R17" s="170"/>
      <c r="S17" s="172"/>
      <c r="T17" s="4"/>
      <c r="AL17" s="15"/>
    </row>
    <row r="18" spans="1:38">
      <c r="A18" s="171"/>
      <c r="C18" s="170"/>
      <c r="D18" s="170"/>
      <c r="E18" s="170"/>
      <c r="F18" s="170"/>
      <c r="G18" s="170"/>
      <c r="H18" s="170"/>
      <c r="I18" s="170"/>
      <c r="J18" s="170"/>
      <c r="K18" s="170"/>
      <c r="L18" s="170"/>
      <c r="M18" s="170"/>
      <c r="N18" s="170"/>
      <c r="O18" s="170"/>
      <c r="P18" s="170"/>
      <c r="Q18" s="170"/>
      <c r="R18" s="170"/>
      <c r="S18" s="172"/>
      <c r="T18" s="4"/>
      <c r="AL18" s="15"/>
    </row>
    <row r="19" spans="1:38">
      <c r="A19" s="171"/>
      <c r="B19" s="231"/>
      <c r="C19" s="170"/>
      <c r="D19" s="170"/>
      <c r="E19" s="170"/>
      <c r="F19" s="170"/>
      <c r="G19" s="170"/>
      <c r="H19" s="170"/>
      <c r="I19" s="170"/>
      <c r="J19" s="170"/>
      <c r="K19" s="170"/>
      <c r="L19" s="170"/>
      <c r="M19" s="170"/>
      <c r="N19" s="170"/>
      <c r="O19" s="170"/>
      <c r="P19" s="170"/>
      <c r="Q19" s="170"/>
      <c r="R19" s="170"/>
      <c r="S19" s="172"/>
      <c r="T19" s="4"/>
      <c r="AL19" s="15"/>
    </row>
    <row r="20" spans="1:38">
      <c r="A20" s="171"/>
      <c r="B20" s="231"/>
      <c r="C20" s="170"/>
      <c r="D20" s="170"/>
      <c r="E20" s="170"/>
      <c r="F20" s="170"/>
      <c r="G20" s="170"/>
      <c r="H20" s="170"/>
      <c r="I20" s="170"/>
      <c r="J20" s="170"/>
      <c r="K20" s="170"/>
      <c r="L20" s="170"/>
      <c r="M20" s="170"/>
      <c r="N20" s="170"/>
      <c r="O20" s="170"/>
      <c r="P20" s="170"/>
      <c r="Q20" s="170"/>
      <c r="R20" s="170"/>
      <c r="S20" s="172"/>
      <c r="T20" s="4"/>
      <c r="AL20" s="15"/>
    </row>
    <row r="21" spans="1:38">
      <c r="A21" s="171"/>
      <c r="B21" s="170"/>
      <c r="C21" s="170"/>
      <c r="D21" s="170"/>
      <c r="E21" s="170"/>
      <c r="F21" s="170"/>
      <c r="G21" s="170"/>
      <c r="H21" s="170"/>
      <c r="I21" s="170"/>
      <c r="J21" s="170"/>
      <c r="K21" s="170"/>
      <c r="L21" s="170"/>
      <c r="M21" s="170"/>
      <c r="N21" s="170"/>
      <c r="O21" s="170"/>
      <c r="P21" s="170"/>
      <c r="Q21" s="170"/>
      <c r="R21" s="170"/>
      <c r="S21" s="172"/>
      <c r="T21" s="4"/>
      <c r="AL21" s="15"/>
    </row>
    <row r="22" spans="1:38">
      <c r="A22" s="171"/>
      <c r="B22" s="231"/>
      <c r="C22" s="170"/>
      <c r="D22" s="170"/>
      <c r="E22" s="170"/>
      <c r="F22" s="170"/>
      <c r="G22" s="170"/>
      <c r="H22" s="170"/>
      <c r="I22" s="170"/>
      <c r="J22" s="170"/>
      <c r="K22" s="170"/>
      <c r="L22" s="170"/>
      <c r="M22" s="170"/>
      <c r="N22" s="170"/>
      <c r="O22" s="170"/>
      <c r="P22" s="170"/>
      <c r="Q22" s="170"/>
      <c r="R22" s="170"/>
      <c r="S22" s="172"/>
      <c r="T22" s="4"/>
      <c r="AL22" s="15"/>
    </row>
    <row r="23" spans="1:38">
      <c r="A23" s="171"/>
      <c r="B23" s="231"/>
      <c r="C23" s="170"/>
      <c r="D23" s="170"/>
      <c r="E23" s="170"/>
      <c r="F23" s="170"/>
      <c r="G23" s="170"/>
      <c r="H23" s="170"/>
      <c r="I23" s="170"/>
      <c r="J23" s="170"/>
      <c r="K23" s="170"/>
      <c r="L23" s="170"/>
      <c r="M23" s="170"/>
      <c r="N23" s="170"/>
      <c r="O23" s="170"/>
      <c r="P23" s="170"/>
      <c r="Q23" s="170"/>
      <c r="R23" s="170"/>
      <c r="S23" s="172"/>
      <c r="T23" s="4"/>
      <c r="AL23" s="15"/>
    </row>
    <row r="24" spans="1:38">
      <c r="A24" s="171"/>
      <c r="B24" s="170"/>
      <c r="C24" s="170"/>
      <c r="D24" s="170"/>
      <c r="E24" s="170"/>
      <c r="F24" s="170"/>
      <c r="G24" s="170"/>
      <c r="H24" s="170"/>
      <c r="I24" s="170"/>
      <c r="J24" s="170"/>
      <c r="K24" s="170"/>
      <c r="L24" s="170"/>
      <c r="M24" s="170"/>
      <c r="N24" s="170"/>
      <c r="O24" s="170"/>
      <c r="P24" s="170"/>
      <c r="Q24" s="170"/>
      <c r="R24" s="170"/>
      <c r="S24" s="172"/>
      <c r="T24" s="4"/>
      <c r="AL24" s="15"/>
    </row>
    <row r="25" spans="1:38">
      <c r="A25" s="171"/>
      <c r="B25" s="231"/>
      <c r="C25" s="170"/>
      <c r="D25" s="170"/>
      <c r="E25" s="170"/>
      <c r="F25" s="170"/>
      <c r="G25" s="170"/>
      <c r="H25" s="170"/>
      <c r="I25" s="170"/>
      <c r="J25" s="170"/>
      <c r="K25" s="170"/>
      <c r="L25" s="170"/>
      <c r="M25" s="170"/>
      <c r="N25" s="170"/>
      <c r="O25" s="170"/>
      <c r="P25" s="170"/>
      <c r="Q25" s="170"/>
      <c r="R25" s="170"/>
      <c r="S25" s="172"/>
      <c r="T25" s="4"/>
      <c r="AL25" s="15"/>
    </row>
    <row r="26" spans="1:38">
      <c r="A26" s="171"/>
      <c r="B26" s="231"/>
      <c r="C26" s="170"/>
      <c r="D26" s="170"/>
      <c r="E26" s="170"/>
      <c r="F26" s="170"/>
      <c r="G26" s="170"/>
      <c r="H26" s="170"/>
      <c r="I26" s="170"/>
      <c r="J26" s="170"/>
      <c r="K26" s="170"/>
      <c r="L26" s="170"/>
      <c r="M26" s="170"/>
      <c r="N26" s="170"/>
      <c r="O26" s="170"/>
      <c r="P26" s="170"/>
      <c r="Q26" s="170"/>
      <c r="R26" s="170"/>
      <c r="S26" s="172"/>
      <c r="T26" s="4"/>
      <c r="AL26" s="15"/>
    </row>
    <row r="27" spans="1:38">
      <c r="A27" s="171"/>
      <c r="B27" s="231"/>
      <c r="C27" s="170"/>
      <c r="D27" s="170"/>
      <c r="E27" s="170"/>
      <c r="F27" s="170"/>
      <c r="G27" s="170"/>
      <c r="H27" s="170"/>
      <c r="I27" s="170"/>
      <c r="J27" s="170"/>
      <c r="K27" s="170"/>
      <c r="L27" s="170"/>
      <c r="M27" s="170"/>
      <c r="N27" s="170"/>
      <c r="O27" s="170"/>
      <c r="P27" s="170"/>
      <c r="Q27" s="170"/>
      <c r="R27" s="170"/>
      <c r="S27" s="172"/>
      <c r="T27" s="4"/>
      <c r="AL27" s="15"/>
    </row>
    <row r="28" spans="1:38">
      <c r="A28" s="171"/>
      <c r="C28" s="170"/>
      <c r="D28" s="170"/>
      <c r="E28" s="170"/>
      <c r="F28" s="170"/>
      <c r="G28" s="170"/>
      <c r="H28" s="170"/>
      <c r="I28" s="170"/>
      <c r="J28" s="170"/>
      <c r="K28" s="170"/>
      <c r="L28" s="170"/>
      <c r="M28" s="170"/>
      <c r="N28" s="170"/>
      <c r="O28" s="170"/>
      <c r="P28" s="170"/>
      <c r="Q28" s="170"/>
      <c r="R28" s="170"/>
      <c r="S28" s="172"/>
      <c r="T28" s="4"/>
      <c r="AL28" s="15"/>
    </row>
    <row r="29" spans="1:38">
      <c r="A29" s="171"/>
      <c r="B29" s="231" t="s">
        <v>817</v>
      </c>
      <c r="C29" s="170"/>
      <c r="D29" s="170"/>
      <c r="E29" s="170"/>
      <c r="F29" s="170"/>
      <c r="G29" s="170"/>
      <c r="H29" s="170"/>
      <c r="I29" s="170"/>
      <c r="J29" s="170"/>
      <c r="K29" s="170"/>
      <c r="L29" s="170"/>
      <c r="M29" s="170"/>
      <c r="N29" s="170"/>
      <c r="O29" s="170"/>
      <c r="P29" s="170"/>
      <c r="Q29" s="170"/>
      <c r="R29" s="170"/>
      <c r="S29" s="172"/>
      <c r="T29" s="4"/>
      <c r="AL29" s="15"/>
    </row>
    <row r="30" spans="1:38">
      <c r="A30" s="171"/>
      <c r="B30" s="231" t="s">
        <v>818</v>
      </c>
      <c r="C30" s="170"/>
      <c r="D30" s="170"/>
      <c r="E30" s="170"/>
      <c r="F30" s="170"/>
      <c r="G30" s="170"/>
      <c r="H30" s="170"/>
      <c r="I30" s="170"/>
      <c r="J30" s="170"/>
      <c r="K30" s="170"/>
      <c r="L30" s="170"/>
      <c r="M30" s="170"/>
      <c r="N30" s="170"/>
      <c r="O30" s="170"/>
      <c r="P30" s="170"/>
      <c r="Q30" s="170"/>
      <c r="R30" s="170"/>
      <c r="S30" s="172"/>
      <c r="T30" s="4"/>
      <c r="AL30" s="15"/>
    </row>
    <row r="31" spans="1:38">
      <c r="A31" s="171"/>
      <c r="B31" s="231" t="s">
        <v>819</v>
      </c>
      <c r="C31" s="170"/>
      <c r="D31" s="170"/>
      <c r="E31" s="170"/>
      <c r="F31" s="170"/>
      <c r="G31" s="170"/>
      <c r="H31" s="170"/>
      <c r="I31" s="170"/>
      <c r="J31" s="170"/>
      <c r="K31" s="170"/>
      <c r="L31" s="170"/>
      <c r="M31" s="170"/>
      <c r="N31" s="170"/>
      <c r="O31" s="170"/>
      <c r="P31" s="170"/>
      <c r="Q31" s="170"/>
      <c r="R31" s="170"/>
      <c r="S31" s="172"/>
      <c r="T31" s="4"/>
      <c r="AL31" s="15"/>
    </row>
    <row r="32" spans="1:38">
      <c r="A32" s="171"/>
      <c r="B32" s="231" t="s">
        <v>820</v>
      </c>
      <c r="C32" s="170"/>
      <c r="D32" s="170"/>
      <c r="E32" s="170"/>
      <c r="F32" s="170"/>
      <c r="G32" s="170"/>
      <c r="H32" s="170"/>
      <c r="I32" s="170"/>
      <c r="J32" s="170"/>
      <c r="K32" s="170"/>
      <c r="L32" s="170"/>
      <c r="M32" s="170"/>
      <c r="N32" s="170"/>
      <c r="O32" s="170"/>
      <c r="P32" s="170"/>
      <c r="Q32" s="170"/>
      <c r="R32" s="170"/>
      <c r="S32" s="172"/>
      <c r="T32" s="4"/>
      <c r="AL32" s="15"/>
    </row>
    <row r="33" spans="1:38">
      <c r="A33" s="171"/>
      <c r="B33" s="170"/>
      <c r="C33" s="170"/>
      <c r="D33" s="170"/>
      <c r="E33" s="170"/>
      <c r="F33" s="170"/>
      <c r="G33" s="170"/>
      <c r="H33" s="170"/>
      <c r="I33" s="170"/>
      <c r="J33" s="170"/>
      <c r="K33" s="170"/>
      <c r="L33" s="170"/>
      <c r="M33" s="170"/>
      <c r="N33" s="170"/>
      <c r="O33" s="170"/>
      <c r="P33" s="170"/>
      <c r="Q33" s="170"/>
      <c r="R33" s="170"/>
      <c r="S33" s="172"/>
      <c r="T33" s="4"/>
      <c r="AL33" s="15"/>
    </row>
    <row r="34" spans="1:38">
      <c r="A34" s="171"/>
      <c r="B34" s="8" t="s">
        <v>786</v>
      </c>
      <c r="C34" s="170"/>
      <c r="D34" s="170"/>
      <c r="E34" s="170"/>
      <c r="F34" s="170"/>
      <c r="G34" s="170"/>
      <c r="H34" s="170"/>
      <c r="I34" s="170"/>
      <c r="J34" s="170"/>
      <c r="K34" s="170"/>
      <c r="L34" s="170"/>
      <c r="M34" s="170"/>
      <c r="N34" s="170"/>
      <c r="O34" s="170"/>
      <c r="P34" s="170"/>
      <c r="Q34" s="170"/>
      <c r="R34" s="170"/>
      <c r="S34" s="172"/>
      <c r="T34" s="4"/>
      <c r="AL34" s="15"/>
    </row>
    <row r="35" spans="1:38">
      <c r="A35" s="171"/>
      <c r="B35" s="8" t="s">
        <v>807</v>
      </c>
      <c r="C35" s="170"/>
      <c r="D35" s="170"/>
      <c r="E35" s="170"/>
      <c r="F35" s="170"/>
      <c r="G35" s="170"/>
      <c r="H35" s="170"/>
      <c r="I35" s="170"/>
      <c r="J35" s="170"/>
      <c r="K35" s="170"/>
      <c r="L35" s="170"/>
      <c r="M35" s="170"/>
      <c r="N35" s="170"/>
      <c r="O35" s="170"/>
      <c r="P35" s="170"/>
      <c r="Q35" s="170"/>
      <c r="R35" s="170"/>
      <c r="S35" s="172"/>
      <c r="T35" s="4"/>
      <c r="AL35" s="15"/>
    </row>
    <row r="36" spans="1:38">
      <c r="A36" s="171"/>
      <c r="C36" s="170"/>
      <c r="D36" s="170"/>
      <c r="E36" s="170"/>
      <c r="F36" s="170"/>
      <c r="G36" s="170"/>
      <c r="H36" s="170"/>
      <c r="I36" s="170"/>
      <c r="J36" s="170"/>
      <c r="K36" s="170"/>
      <c r="L36" s="170"/>
      <c r="M36" s="170"/>
      <c r="N36" s="170"/>
      <c r="O36" s="170"/>
      <c r="P36" s="170"/>
      <c r="Q36" s="170"/>
      <c r="R36" s="170"/>
      <c r="S36" s="172"/>
      <c r="T36" s="4"/>
      <c r="AL36" s="15"/>
    </row>
    <row r="37" spans="1:38">
      <c r="A37" s="171"/>
      <c r="B37" s="231" t="s">
        <v>808</v>
      </c>
      <c r="C37" s="170"/>
      <c r="D37" s="170"/>
      <c r="E37" s="170"/>
      <c r="F37" s="170"/>
      <c r="G37" s="170"/>
      <c r="H37" s="170"/>
      <c r="I37" s="170"/>
      <c r="J37" s="170"/>
      <c r="K37" s="170"/>
      <c r="L37" s="170"/>
      <c r="M37" s="170"/>
      <c r="N37" s="170"/>
      <c r="O37" s="170"/>
      <c r="P37" s="170"/>
      <c r="Q37" s="170"/>
      <c r="R37" s="170"/>
      <c r="S37" s="172"/>
      <c r="T37" s="4"/>
      <c r="AL37" s="15"/>
    </row>
    <row r="38" spans="1:38">
      <c r="A38" s="171"/>
      <c r="B38" s="231" t="s">
        <v>809</v>
      </c>
      <c r="C38" s="170"/>
      <c r="D38" s="170"/>
      <c r="E38" s="170"/>
      <c r="F38" s="170"/>
      <c r="G38" s="170"/>
      <c r="H38" s="170"/>
      <c r="I38" s="170"/>
      <c r="J38" s="170"/>
      <c r="K38" s="170"/>
      <c r="L38" s="170"/>
      <c r="M38" s="170"/>
      <c r="N38" s="170"/>
      <c r="O38" s="170"/>
      <c r="P38" s="170"/>
      <c r="Q38" s="170"/>
      <c r="R38" s="170"/>
      <c r="S38" s="172"/>
      <c r="T38" s="4"/>
      <c r="V38" s="145" t="s">
        <v>757</v>
      </c>
      <c r="AL38" s="15"/>
    </row>
    <row r="39" spans="1:38">
      <c r="A39" s="171"/>
      <c r="B39" s="170"/>
      <c r="C39" s="170"/>
      <c r="D39" s="170"/>
      <c r="E39" s="170"/>
      <c r="F39" s="170"/>
      <c r="G39" s="170"/>
      <c r="H39" s="170"/>
      <c r="I39" s="170"/>
      <c r="J39" s="170"/>
      <c r="K39" s="170"/>
      <c r="L39" s="170"/>
      <c r="M39" s="170"/>
      <c r="N39" s="170"/>
      <c r="O39" s="170"/>
      <c r="P39" s="170"/>
      <c r="Q39" s="170"/>
      <c r="R39" s="170"/>
      <c r="S39" s="172"/>
      <c r="T39" s="4"/>
      <c r="AL39" s="15"/>
    </row>
    <row r="40" spans="1:38">
      <c r="A40" s="171"/>
      <c r="B40" s="231" t="s">
        <v>821</v>
      </c>
      <c r="C40" s="170"/>
      <c r="D40" s="170"/>
      <c r="E40" s="170"/>
      <c r="F40" s="170"/>
      <c r="G40" s="170"/>
      <c r="H40" s="170"/>
      <c r="I40" s="170"/>
      <c r="J40" s="170"/>
      <c r="K40" s="170"/>
      <c r="L40" s="170"/>
      <c r="M40" s="170"/>
      <c r="N40" s="170"/>
      <c r="O40" s="170"/>
      <c r="P40" s="170"/>
      <c r="Q40" s="170"/>
      <c r="R40" s="170"/>
      <c r="S40" s="172"/>
      <c r="T40" s="4"/>
      <c r="AL40" s="15"/>
    </row>
    <row r="41" spans="1:38">
      <c r="A41" s="171"/>
      <c r="B41" s="231" t="s">
        <v>822</v>
      </c>
      <c r="C41" s="170"/>
      <c r="D41" s="170"/>
      <c r="E41" s="170"/>
      <c r="F41" s="170"/>
      <c r="G41" s="170"/>
      <c r="H41" s="170"/>
      <c r="I41" s="170"/>
      <c r="J41" s="170"/>
      <c r="K41" s="170"/>
      <c r="L41" s="170"/>
      <c r="M41" s="170"/>
      <c r="N41" s="170"/>
      <c r="O41" s="170"/>
      <c r="P41" s="170"/>
      <c r="Q41" s="170"/>
      <c r="R41" s="170"/>
      <c r="S41" s="172"/>
      <c r="T41" s="4"/>
      <c r="AL41" s="15"/>
    </row>
    <row r="42" spans="1:38">
      <c r="A42" s="171"/>
      <c r="B42" s="170"/>
      <c r="C42" s="170"/>
      <c r="D42" s="170"/>
      <c r="E42" s="170"/>
      <c r="F42" s="170"/>
      <c r="G42" s="170"/>
      <c r="H42" s="170"/>
      <c r="I42" s="170"/>
      <c r="J42" s="170"/>
      <c r="K42" s="170"/>
      <c r="L42" s="170"/>
      <c r="M42" s="170"/>
      <c r="N42" s="170"/>
      <c r="O42" s="170"/>
      <c r="P42" s="170"/>
      <c r="Q42" s="170"/>
      <c r="R42" s="170"/>
      <c r="S42" s="172"/>
      <c r="T42" s="4"/>
      <c r="AL42" s="15"/>
    </row>
    <row r="43" spans="1:38">
      <c r="A43" s="171"/>
      <c r="B43" s="231" t="s">
        <v>793</v>
      </c>
      <c r="C43" s="170"/>
      <c r="D43" s="170"/>
      <c r="E43" s="170"/>
      <c r="F43" s="170"/>
      <c r="G43" s="170"/>
      <c r="H43" s="170"/>
      <c r="I43" s="170"/>
      <c r="J43" s="170"/>
      <c r="K43" s="170"/>
      <c r="L43" s="170"/>
      <c r="M43" s="170"/>
      <c r="N43" s="170"/>
      <c r="O43" s="170"/>
      <c r="P43" s="170"/>
      <c r="Q43" s="170"/>
      <c r="R43" s="170"/>
      <c r="S43" s="172"/>
      <c r="T43" s="4"/>
      <c r="AL43" s="15"/>
    </row>
    <row r="44" spans="1:38">
      <c r="A44" s="171"/>
      <c r="B44" s="231" t="s">
        <v>794</v>
      </c>
      <c r="C44" s="170"/>
      <c r="D44" s="170"/>
      <c r="E44" s="170"/>
      <c r="F44" s="170"/>
      <c r="G44" s="170"/>
      <c r="H44" s="170"/>
      <c r="I44" s="170"/>
      <c r="J44" s="170"/>
      <c r="K44" s="170"/>
      <c r="L44" s="170"/>
      <c r="M44" s="170"/>
      <c r="N44" s="170"/>
      <c r="O44" s="170"/>
      <c r="P44" s="170"/>
      <c r="Q44" s="170"/>
      <c r="R44" s="170"/>
      <c r="S44" s="172"/>
      <c r="T44" s="4"/>
      <c r="AL44" s="15"/>
    </row>
    <row r="45" spans="1:38">
      <c r="A45" s="171"/>
      <c r="B45" s="231" t="s">
        <v>795</v>
      </c>
      <c r="C45" s="170"/>
      <c r="D45" s="170"/>
      <c r="E45" s="170"/>
      <c r="F45" s="170"/>
      <c r="G45" s="170"/>
      <c r="H45" s="170"/>
      <c r="I45" s="170"/>
      <c r="J45" s="170"/>
      <c r="K45" s="170"/>
      <c r="L45" s="170"/>
      <c r="M45" s="170"/>
      <c r="N45" s="170"/>
      <c r="O45" s="170"/>
      <c r="P45" s="170"/>
      <c r="Q45" s="170"/>
      <c r="R45" s="170"/>
      <c r="S45" s="172"/>
      <c r="T45" s="4"/>
      <c r="AL45" s="15"/>
    </row>
    <row r="46" spans="1:38">
      <c r="A46" s="171"/>
      <c r="S46" s="172"/>
      <c r="T46" s="4"/>
      <c r="AL46" s="15"/>
    </row>
    <row r="47" spans="1:38">
      <c r="A47" s="171"/>
      <c r="B47" s="231" t="s">
        <v>796</v>
      </c>
      <c r="S47" s="172"/>
      <c r="T47" s="4"/>
      <c r="AL47" s="15"/>
    </row>
    <row r="48" spans="1:38">
      <c r="A48" s="171"/>
      <c r="B48" s="231" t="s">
        <v>797</v>
      </c>
      <c r="S48" s="172"/>
      <c r="T48" s="4"/>
      <c r="AL48" s="15"/>
    </row>
    <row r="49" spans="1:38">
      <c r="A49" s="171"/>
      <c r="S49" s="172"/>
      <c r="T49" s="4"/>
      <c r="AL49" s="15"/>
    </row>
    <row r="50" spans="1:38">
      <c r="A50" s="171"/>
      <c r="B50" s="170"/>
      <c r="C50" s="170"/>
      <c r="D50" s="170"/>
      <c r="E50" s="170"/>
      <c r="F50" s="170"/>
      <c r="G50" s="170"/>
      <c r="H50" s="170"/>
      <c r="I50" s="170"/>
      <c r="J50" s="170"/>
      <c r="K50" s="170"/>
      <c r="L50" s="170"/>
      <c r="M50" s="170"/>
      <c r="N50" s="170"/>
      <c r="O50" s="170"/>
      <c r="P50" s="170"/>
      <c r="Q50" s="170"/>
      <c r="R50" s="170"/>
      <c r="S50" s="172"/>
      <c r="T50" s="4"/>
      <c r="AL50" s="15"/>
    </row>
    <row r="51" spans="1:38">
      <c r="A51" s="171"/>
      <c r="B51" s="170"/>
      <c r="C51" s="170"/>
      <c r="D51" s="170"/>
      <c r="E51" s="170"/>
      <c r="F51" s="170"/>
      <c r="G51" s="170"/>
      <c r="H51" s="170"/>
      <c r="I51" s="170"/>
      <c r="J51" s="170"/>
      <c r="K51" s="170"/>
      <c r="L51" s="170"/>
      <c r="M51" s="170"/>
      <c r="N51" s="170"/>
      <c r="O51" s="170"/>
      <c r="P51" s="170"/>
      <c r="Q51" s="170"/>
      <c r="R51" s="170"/>
      <c r="S51" s="172"/>
      <c r="T51" s="4"/>
      <c r="AL51" s="15"/>
    </row>
    <row r="52" spans="1:38">
      <c r="A52" s="171"/>
      <c r="B52" s="170"/>
      <c r="C52" s="170"/>
      <c r="D52" s="170"/>
      <c r="E52" s="170"/>
      <c r="F52" s="170"/>
      <c r="G52" s="170"/>
      <c r="H52" s="170"/>
      <c r="I52" s="170"/>
      <c r="J52" s="170"/>
      <c r="K52" s="170"/>
      <c r="L52" s="170"/>
      <c r="M52" s="170"/>
      <c r="N52" s="170"/>
      <c r="O52" s="170"/>
      <c r="P52" s="170"/>
      <c r="Q52" s="170"/>
      <c r="R52" s="170"/>
      <c r="S52" s="172"/>
      <c r="T52" s="4"/>
      <c r="AL52" s="15"/>
    </row>
    <row r="53" spans="1:38">
      <c r="A53" s="171"/>
      <c r="B53" s="170"/>
      <c r="C53" s="170"/>
      <c r="D53" s="170"/>
      <c r="E53" s="170"/>
      <c r="F53" s="170"/>
      <c r="G53" s="170"/>
      <c r="H53" s="170"/>
      <c r="I53" s="170"/>
      <c r="J53" s="170"/>
      <c r="K53" s="170"/>
      <c r="L53" s="170"/>
      <c r="M53" s="170"/>
      <c r="N53" s="170"/>
      <c r="O53" s="170"/>
      <c r="P53" s="170"/>
      <c r="Q53" s="170"/>
      <c r="R53" s="170"/>
      <c r="S53" s="172"/>
      <c r="T53" s="4"/>
      <c r="AL53" s="15"/>
    </row>
    <row r="54" spans="1:38">
      <c r="A54" s="171"/>
      <c r="B54" s="170"/>
      <c r="C54" s="170"/>
      <c r="D54" s="170"/>
      <c r="E54" s="170"/>
      <c r="F54" s="170"/>
      <c r="G54" s="170"/>
      <c r="H54" s="170"/>
      <c r="I54" s="170"/>
      <c r="J54" s="170"/>
      <c r="K54" s="170"/>
      <c r="L54" s="170"/>
      <c r="M54" s="170"/>
      <c r="N54" s="170"/>
      <c r="O54" s="170"/>
      <c r="P54" s="170"/>
      <c r="Q54" s="170"/>
      <c r="R54" s="170"/>
      <c r="S54" s="172"/>
      <c r="T54" s="4"/>
      <c r="AL54" s="15"/>
    </row>
    <row r="55" spans="1:38">
      <c r="A55" s="171"/>
      <c r="B55" s="231"/>
      <c r="C55" s="170"/>
      <c r="D55" s="170"/>
      <c r="E55" s="170"/>
      <c r="F55" s="170"/>
      <c r="G55" s="170"/>
      <c r="H55" s="170"/>
      <c r="I55" s="170"/>
      <c r="J55" s="170"/>
      <c r="K55" s="170"/>
      <c r="L55" s="170"/>
      <c r="M55" s="170"/>
      <c r="N55" s="170"/>
      <c r="O55" s="170"/>
      <c r="P55" s="170"/>
      <c r="Q55" s="170"/>
      <c r="R55" s="170"/>
      <c r="S55" s="172"/>
      <c r="T55" s="4"/>
      <c r="AL55" s="15"/>
    </row>
    <row r="56" spans="1:38">
      <c r="A56" s="171"/>
      <c r="B56" s="231"/>
      <c r="C56" s="170"/>
      <c r="D56" s="170"/>
      <c r="E56" s="170"/>
      <c r="F56" s="170"/>
      <c r="G56" s="170"/>
      <c r="H56" s="170"/>
      <c r="I56" s="170"/>
      <c r="J56" s="170"/>
      <c r="K56" s="170"/>
      <c r="L56" s="170"/>
      <c r="M56" s="170"/>
      <c r="N56" s="170"/>
      <c r="O56" s="170"/>
      <c r="P56" s="170"/>
      <c r="Q56" s="170"/>
      <c r="R56" s="170"/>
      <c r="S56" s="172"/>
      <c r="T56" s="4"/>
      <c r="AL56" s="15"/>
    </row>
    <row r="57" spans="1:38">
      <c r="A57" s="232"/>
      <c r="B57" s="173"/>
      <c r="C57" s="173"/>
      <c r="D57" s="173"/>
      <c r="E57" s="173"/>
      <c r="F57" s="173"/>
      <c r="G57" s="173"/>
      <c r="H57" s="173"/>
      <c r="I57" s="173"/>
      <c r="J57" s="173"/>
      <c r="K57" s="173"/>
      <c r="L57" s="173"/>
      <c r="M57" s="173"/>
      <c r="N57" s="173"/>
      <c r="O57" s="173"/>
      <c r="P57" s="173"/>
      <c r="Q57" s="173"/>
      <c r="R57" s="173"/>
      <c r="S57" s="17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8APJDFSZ3HTIFewA/3ZlIw1xPLvilkn/v5NuHhA5ukWAzV0hDsXIaa5MpIPySFcAJCuYba57rkbbENnBwWNKgQ==" saltValue="AQa63ttDD87LAmcdcnN0pQ==" spinCount="100000" sheet="1" scenarios="1" insertHyperlinks="0"/>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46484375" defaultRowHeight="12.75"/>
  <cols>
    <col min="1" max="1" width="5" customWidth="1"/>
    <col min="2" max="2" width="6.33203125" customWidth="1"/>
    <col min="3" max="38" width="5" customWidth="1"/>
  </cols>
  <sheetData>
    <row r="1" spans="1:38" ht="13.15">
      <c r="A1" s="1087" t="s">
        <v>823</v>
      </c>
      <c r="B1" s="1087"/>
      <c r="C1" s="1087"/>
      <c r="D1" s="1087"/>
      <c r="E1" s="1087"/>
      <c r="F1" s="1087"/>
      <c r="G1" s="1087"/>
      <c r="H1" s="1087"/>
      <c r="I1" s="1087"/>
      <c r="J1" s="1087"/>
      <c r="K1" s="1087"/>
      <c r="L1" s="1087"/>
      <c r="M1" s="1087"/>
      <c r="N1" s="1087"/>
      <c r="O1" s="1087"/>
      <c r="P1" s="1087"/>
      <c r="Q1" s="1087"/>
      <c r="R1" s="1087"/>
      <c r="S1" s="1087"/>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t="s">
        <v>824</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233" t="s">
        <v>825</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170"/>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47"/>
    </row>
    <row r="7" spans="1:38">
      <c r="A7" s="171"/>
      <c r="B7" s="231" t="s">
        <v>826</v>
      </c>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3" t="s">
        <v>827</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t="s">
        <v>828</v>
      </c>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B13" s="234" t="s">
        <v>829</v>
      </c>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t="s">
        <v>830</v>
      </c>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5" t="s">
        <v>831</v>
      </c>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8" t="s">
        <v>832</v>
      </c>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27" t="s">
        <v>757</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c r="C19" s="231"/>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231"/>
      <c r="C20" s="231"/>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170"/>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171"/>
      <c r="B54" s="170"/>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47"/>
    </row>
    <row r="55" spans="1:38">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47"/>
    </row>
    <row r="56" spans="1:38">
      <c r="A56" s="171"/>
      <c r="B56" s="231"/>
      <c r="C56" s="170"/>
      <c r="D56" s="170"/>
      <c r="E56" s="170"/>
      <c r="F56" s="170"/>
      <c r="G56" s="170"/>
      <c r="H56" s="170"/>
      <c r="I56" s="170"/>
      <c r="J56" s="170"/>
      <c r="K56" s="170"/>
      <c r="L56" s="170"/>
      <c r="M56" s="170"/>
      <c r="N56" s="170"/>
      <c r="O56" s="170"/>
      <c r="P56" s="170"/>
      <c r="Q56" s="170"/>
      <c r="R56" s="170"/>
      <c r="S56" s="172"/>
      <c r="T56" s="146"/>
      <c r="U56" s="104"/>
      <c r="V56" s="104"/>
      <c r="W56" s="104"/>
      <c r="X56" s="104"/>
      <c r="Y56" s="104"/>
      <c r="Z56" s="104"/>
      <c r="AA56" s="104"/>
      <c r="AB56" s="104"/>
      <c r="AC56" s="104"/>
      <c r="AD56" s="104"/>
      <c r="AE56" s="104"/>
      <c r="AF56" s="104"/>
      <c r="AG56" s="104"/>
      <c r="AH56" s="104"/>
      <c r="AI56" s="104"/>
      <c r="AJ56" s="104"/>
      <c r="AK56" s="104"/>
      <c r="AL56" s="147"/>
    </row>
    <row r="57" spans="1:38">
      <c r="A57" s="232"/>
      <c r="B57" s="173"/>
      <c r="C57" s="173"/>
      <c r="D57" s="173"/>
      <c r="E57" s="173"/>
      <c r="F57" s="173"/>
      <c r="G57" s="173"/>
      <c r="H57" s="173"/>
      <c r="I57" s="173"/>
      <c r="J57" s="173"/>
      <c r="K57" s="173"/>
      <c r="L57" s="173"/>
      <c r="M57" s="173"/>
      <c r="N57" s="173"/>
      <c r="O57" s="173"/>
      <c r="P57" s="173"/>
      <c r="Q57" s="173"/>
      <c r="R57" s="173"/>
      <c r="S57" s="174"/>
      <c r="T57" s="148"/>
      <c r="U57" s="149"/>
      <c r="V57" s="149"/>
      <c r="W57" s="149"/>
      <c r="X57" s="149"/>
      <c r="Y57" s="149"/>
      <c r="Z57" s="149"/>
      <c r="AA57" s="149"/>
      <c r="AB57" s="149"/>
      <c r="AC57" s="149"/>
      <c r="AD57" s="149"/>
      <c r="AE57" s="149"/>
      <c r="AF57" s="149"/>
      <c r="AG57" s="149"/>
      <c r="AH57" s="149"/>
      <c r="AI57" s="149"/>
      <c r="AJ57" s="149"/>
      <c r="AK57" s="149"/>
      <c r="AL57" s="150"/>
    </row>
  </sheetData>
  <sheetProtection algorithmName="SHA-512" hashValue="Z+pxbiiFN6sejqN4hUoMSw39hgy+j5ixrucXf01gND7gvAPSQW2NsiktkW2LVzHeyGR8Vjcsad5CqQlAipr54w==" saltValue="pmkr+tiRXk/Nsid+i0Zclg==" spinCount="100000" sheet="1" scenarios="1" insertHyperlinks="0"/>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sqref="A1:S1"/>
    </sheetView>
  </sheetViews>
  <sheetFormatPr baseColWidth="10" defaultColWidth="11.46484375" defaultRowHeight="12.75"/>
  <cols>
    <col min="1" max="1" width="5" customWidth="1"/>
    <col min="2" max="2" width="5.86328125" customWidth="1"/>
    <col min="3" max="38" width="5" customWidth="1"/>
  </cols>
  <sheetData>
    <row r="1" spans="1:38" ht="13.15">
      <c r="A1" s="1087" t="s">
        <v>833</v>
      </c>
      <c r="B1" s="1087"/>
      <c r="C1" s="1087"/>
      <c r="D1" s="1087"/>
      <c r="E1" s="1087"/>
      <c r="F1" s="1087"/>
      <c r="G1" s="1087"/>
      <c r="H1" s="1087"/>
      <c r="I1" s="1087"/>
      <c r="J1" s="1087"/>
      <c r="K1" s="1087"/>
      <c r="L1" s="1087"/>
      <c r="M1" s="1087"/>
      <c r="N1" s="1087"/>
      <c r="O1" s="1087"/>
      <c r="P1" s="1087"/>
      <c r="Q1" s="1087"/>
      <c r="R1" s="1087"/>
      <c r="S1" s="1087"/>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t="s">
        <v>834</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236" t="s">
        <v>835</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170"/>
      <c r="M6" s="170"/>
      <c r="N6" s="170"/>
      <c r="O6" s="170"/>
      <c r="P6" s="170"/>
      <c r="Q6" s="170"/>
      <c r="R6" s="170"/>
      <c r="S6" s="172"/>
      <c r="T6" s="146"/>
      <c r="U6" s="156"/>
      <c r="V6" s="104"/>
      <c r="W6" s="104"/>
      <c r="X6" s="104"/>
      <c r="Y6" s="104"/>
      <c r="Z6" s="104"/>
      <c r="AA6" s="104"/>
      <c r="AB6" s="104"/>
      <c r="AC6" s="104"/>
      <c r="AD6" s="104"/>
      <c r="AE6" s="104"/>
      <c r="AF6" s="104"/>
      <c r="AG6" s="104"/>
      <c r="AH6" s="104"/>
      <c r="AI6" s="104"/>
      <c r="AJ6" s="104"/>
      <c r="AK6" s="104"/>
      <c r="AL6" s="147"/>
    </row>
    <row r="7" spans="1:38">
      <c r="A7" s="171"/>
      <c r="B7" s="231"/>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B8" s="231" t="s">
        <v>836</v>
      </c>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1" t="s">
        <v>837</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t="s">
        <v>838</v>
      </c>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B12" s="231" t="s">
        <v>839</v>
      </c>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c r="C14" s="231" t="s">
        <v>840</v>
      </c>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4"/>
      <c r="C15" s="231" t="s">
        <v>841</v>
      </c>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235"/>
      <c r="C16" s="231" t="s">
        <v>842</v>
      </c>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35" t="s">
        <v>843</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t="s">
        <v>844</v>
      </c>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231"/>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231" t="s">
        <v>845</v>
      </c>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A22" s="17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A23" s="171"/>
      <c r="B23" s="234"/>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A24" s="171"/>
      <c r="B24" s="234"/>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A25" s="171"/>
      <c r="B25" s="221" t="s">
        <v>757</v>
      </c>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A26" s="171"/>
      <c r="B26" s="8"/>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c r="A27" s="171"/>
      <c r="B27" s="8"/>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c r="A28" s="171"/>
      <c r="B28" s="231"/>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A29" s="171"/>
      <c r="B29" s="231"/>
      <c r="C29" s="231"/>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c r="A30" s="171"/>
      <c r="B30" s="170"/>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231"/>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231"/>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232"/>
      <c r="B54" s="173"/>
      <c r="C54" s="173"/>
      <c r="D54" s="173"/>
      <c r="E54" s="173"/>
      <c r="F54" s="173"/>
      <c r="G54" s="173"/>
      <c r="H54" s="173"/>
      <c r="I54" s="173"/>
      <c r="J54" s="173"/>
      <c r="K54" s="173"/>
      <c r="L54" s="173"/>
      <c r="M54" s="173"/>
      <c r="N54" s="173"/>
      <c r="O54" s="173"/>
      <c r="P54" s="173"/>
      <c r="Q54" s="173"/>
      <c r="R54" s="173"/>
      <c r="S54" s="174"/>
      <c r="T54" s="148"/>
      <c r="U54" s="149"/>
      <c r="V54" s="149"/>
      <c r="W54" s="149"/>
      <c r="X54" s="149"/>
      <c r="Y54" s="149"/>
      <c r="Z54" s="149"/>
      <c r="AA54" s="149"/>
      <c r="AB54" s="149"/>
      <c r="AC54" s="149"/>
      <c r="AD54" s="149"/>
      <c r="AE54" s="149"/>
      <c r="AF54" s="149"/>
      <c r="AG54" s="149"/>
      <c r="AH54" s="149"/>
      <c r="AI54" s="149"/>
      <c r="AJ54" s="149"/>
      <c r="AK54" s="149"/>
      <c r="AL54" s="150"/>
    </row>
  </sheetData>
  <sheetProtection algorithmName="SHA-512" hashValue="oiFUlgAFddkxWI8w8JH//GSeCzfHBFVEbznH9SOhHoPVYp/wxXzto3PApTXaT0ZBIV5aGlSl5UvovAWKc0olOA==" saltValue="nTpl1VcIJO6Ao1no92vuzg==" spinCount="100000" sheet="1" scenarios="1" insertHyperlinks="0"/>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sqref="A1:S1"/>
    </sheetView>
  </sheetViews>
  <sheetFormatPr baseColWidth="10" defaultColWidth="11.46484375" defaultRowHeight="12.75"/>
  <cols>
    <col min="1" max="2" width="5" customWidth="1"/>
    <col min="3" max="3" width="6.53125" customWidth="1"/>
    <col min="4" max="38" width="5" customWidth="1"/>
  </cols>
  <sheetData>
    <row r="1" spans="1:38" ht="13.15">
      <c r="A1" s="1087" t="s">
        <v>846</v>
      </c>
      <c r="B1" s="1087"/>
      <c r="C1" s="1087"/>
      <c r="D1" s="1087"/>
      <c r="E1" s="1087"/>
      <c r="F1" s="1087"/>
      <c r="G1" s="1087"/>
      <c r="H1" s="1087"/>
      <c r="I1" s="1087"/>
      <c r="J1" s="1087"/>
      <c r="K1" s="1087"/>
      <c r="L1" s="1087"/>
      <c r="M1" s="1087"/>
      <c r="N1" s="1087"/>
      <c r="O1" s="1087"/>
      <c r="P1" s="1087"/>
      <c r="Q1" s="1087"/>
      <c r="R1" s="1087"/>
      <c r="S1" s="1087"/>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t="s">
        <v>847</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8" t="s">
        <v>848</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512"/>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47"/>
    </row>
    <row r="7" spans="1:38">
      <c r="A7" s="171"/>
      <c r="B7" s="231" t="s">
        <v>849</v>
      </c>
      <c r="C7" s="170"/>
      <c r="D7" s="170"/>
      <c r="E7" s="170"/>
      <c r="F7" s="170"/>
      <c r="G7" s="170"/>
      <c r="H7" s="170"/>
      <c r="I7" s="170"/>
      <c r="J7" s="170"/>
      <c r="K7" s="170"/>
      <c r="L7" s="170"/>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B8" s="231" t="s">
        <v>850</v>
      </c>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1"/>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B13" s="234"/>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5"/>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8"/>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31"/>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c r="C19" s="231"/>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170"/>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231"/>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A22" s="171"/>
      <c r="B22" s="23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A23" s="171"/>
      <c r="B23" s="231"/>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A24" s="171"/>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A25" s="171"/>
      <c r="B25" s="234"/>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A26" s="171"/>
      <c r="B26" s="234"/>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c r="A27" s="171"/>
      <c r="B27" s="235"/>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c r="A28" s="171"/>
      <c r="B28" s="8"/>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A29" s="171"/>
      <c r="B29" s="8"/>
      <c r="C29" s="170"/>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c r="A30" s="171"/>
      <c r="B30" s="231"/>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c r="A31" s="171"/>
      <c r="B31" s="231"/>
      <c r="C31" s="231"/>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226" t="s">
        <v>757</v>
      </c>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171"/>
      <c r="B54" s="231"/>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47"/>
    </row>
    <row r="55" spans="1:38">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47"/>
    </row>
    <row r="56" spans="1:38">
      <c r="A56" s="232"/>
      <c r="B56" s="173"/>
      <c r="C56" s="173"/>
      <c r="D56" s="173"/>
      <c r="E56" s="173"/>
      <c r="F56" s="173"/>
      <c r="G56" s="173"/>
      <c r="H56" s="173"/>
      <c r="I56" s="173"/>
      <c r="J56" s="173"/>
      <c r="K56" s="173"/>
      <c r="L56" s="173"/>
      <c r="M56" s="173"/>
      <c r="N56" s="173"/>
      <c r="O56" s="173"/>
      <c r="P56" s="173"/>
      <c r="Q56" s="173"/>
      <c r="R56" s="173"/>
      <c r="S56" s="174"/>
      <c r="T56" s="148"/>
      <c r="U56" s="149"/>
      <c r="V56" s="149"/>
      <c r="W56" s="149"/>
      <c r="X56" s="149"/>
      <c r="Y56" s="149"/>
      <c r="Z56" s="149"/>
      <c r="AA56" s="149"/>
      <c r="AB56" s="149"/>
      <c r="AC56" s="149"/>
      <c r="AD56" s="149"/>
      <c r="AE56" s="149"/>
      <c r="AF56" s="149"/>
      <c r="AG56" s="149"/>
      <c r="AH56" s="149"/>
      <c r="AI56" s="149"/>
      <c r="AJ56" s="149"/>
      <c r="AK56" s="149"/>
      <c r="AL56" s="150"/>
    </row>
  </sheetData>
  <sheetProtection algorithmName="SHA-512" hashValue="xiV68uyX7zb6eAT85d2OFCD7O8R+jJrNaUHnlLBSSyhTxN6Fo5vSBmNHQg/PTvdStus2gNfK1yZTqYyPgnTn2g==" saltValue="MPfjEo2+6a+QGkTB5baqpQ==" spinCount="100000" sheet="1" scenarios="1" insertHyperlinks="0"/>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zoomScaleNormal="100" zoomScaleSheetLayoutView="100" workbookViewId="0">
      <selection sqref="A1:S1"/>
    </sheetView>
  </sheetViews>
  <sheetFormatPr baseColWidth="10" defaultColWidth="11.46484375" defaultRowHeight="12.75"/>
  <cols>
    <col min="1" max="2" width="5" customWidth="1"/>
    <col min="3" max="3" width="6.53125" customWidth="1"/>
    <col min="4" max="38" width="5" customWidth="1"/>
  </cols>
  <sheetData>
    <row r="1" spans="1:38" ht="13.15">
      <c r="A1" s="1540" t="s">
        <v>851</v>
      </c>
      <c r="B1" s="1541"/>
      <c r="C1" s="1541"/>
      <c r="D1" s="1541"/>
      <c r="E1" s="1541"/>
      <c r="F1" s="1541"/>
      <c r="G1" s="1541"/>
      <c r="H1" s="1541"/>
      <c r="I1" s="1541"/>
      <c r="J1" s="1541"/>
      <c r="K1" s="1541"/>
      <c r="L1" s="1541"/>
      <c r="M1" s="1541"/>
      <c r="N1" s="1541"/>
      <c r="O1" s="1541"/>
      <c r="P1" s="1541"/>
      <c r="Q1" s="1541"/>
      <c r="R1" s="1541"/>
      <c r="S1" s="1541"/>
      <c r="T1" s="1542" t="s">
        <v>852</v>
      </c>
      <c r="U1" s="1542"/>
      <c r="V1" s="1542"/>
      <c r="W1" s="1542"/>
      <c r="X1" s="1542"/>
      <c r="Y1" s="1542"/>
      <c r="Z1" s="1542"/>
      <c r="AA1" s="1542"/>
      <c r="AB1" s="1542"/>
      <c r="AC1" s="1542"/>
      <c r="AD1" s="1542"/>
      <c r="AE1" s="1542"/>
      <c r="AF1" s="1542"/>
      <c r="AG1" s="1542"/>
      <c r="AH1" s="1542"/>
      <c r="AI1" s="1542"/>
      <c r="AJ1" s="1542"/>
      <c r="AK1" s="1542"/>
      <c r="AL1" s="1543"/>
    </row>
    <row r="2" spans="1:38" ht="14.25">
      <c r="A2" s="4" t="s">
        <v>853</v>
      </c>
      <c r="B2" t="s">
        <v>853</v>
      </c>
      <c r="C2" t="s">
        <v>853</v>
      </c>
      <c r="D2" t="s">
        <v>853</v>
      </c>
      <c r="E2" t="s">
        <v>853</v>
      </c>
      <c r="F2" t="s">
        <v>853</v>
      </c>
      <c r="G2" t="s">
        <v>853</v>
      </c>
      <c r="H2" t="s">
        <v>853</v>
      </c>
      <c r="I2" t="s">
        <v>853</v>
      </c>
      <c r="J2" t="s">
        <v>853</v>
      </c>
      <c r="K2" t="s">
        <v>853</v>
      </c>
      <c r="L2" t="s">
        <v>853</v>
      </c>
      <c r="M2" t="s">
        <v>853</v>
      </c>
      <c r="N2" t="s">
        <v>853</v>
      </c>
      <c r="O2" t="s">
        <v>853</v>
      </c>
      <c r="P2" t="s">
        <v>853</v>
      </c>
      <c r="Q2" t="s">
        <v>853</v>
      </c>
      <c r="R2" t="s">
        <v>853</v>
      </c>
      <c r="S2" s="15" t="s">
        <v>853</v>
      </c>
      <c r="T2" s="881" t="s">
        <v>853</v>
      </c>
      <c r="U2" s="881" t="s">
        <v>853</v>
      </c>
      <c r="V2" s="881" t="s">
        <v>853</v>
      </c>
      <c r="W2" s="881" t="s">
        <v>853</v>
      </c>
      <c r="X2" s="881" t="s">
        <v>853</v>
      </c>
      <c r="Y2" s="881" t="s">
        <v>853</v>
      </c>
      <c r="Z2" s="881" t="s">
        <v>853</v>
      </c>
      <c r="AA2" s="881" t="s">
        <v>853</v>
      </c>
      <c r="AB2" s="881" t="s">
        <v>853</v>
      </c>
      <c r="AC2" s="881" t="s">
        <v>853</v>
      </c>
      <c r="AD2" s="881" t="s">
        <v>853</v>
      </c>
      <c r="AE2" s="881" t="s">
        <v>853</v>
      </c>
      <c r="AF2" s="881" t="s">
        <v>853</v>
      </c>
      <c r="AG2" s="881" t="s">
        <v>853</v>
      </c>
      <c r="AH2" s="881" t="s">
        <v>853</v>
      </c>
      <c r="AI2" s="881" t="s">
        <v>853</v>
      </c>
      <c r="AJ2" s="881" t="s">
        <v>853</v>
      </c>
      <c r="AK2" s="881" t="s">
        <v>853</v>
      </c>
      <c r="AL2" s="882" t="s">
        <v>853</v>
      </c>
    </row>
    <row r="3" spans="1:38" ht="14.25">
      <c r="A3" s="4" t="s">
        <v>853</v>
      </c>
      <c r="B3" s="8" t="s">
        <v>854</v>
      </c>
      <c r="C3" s="8"/>
      <c r="D3" s="8"/>
      <c r="E3" s="8"/>
      <c r="F3" s="8"/>
      <c r="G3" s="8"/>
      <c r="H3" s="8"/>
      <c r="I3" s="8"/>
      <c r="J3" s="8"/>
      <c r="K3" s="8"/>
      <c r="L3" s="8"/>
      <c r="M3" s="8"/>
      <c r="N3" s="8"/>
      <c r="O3" s="8"/>
      <c r="P3" s="8"/>
      <c r="Q3" s="8"/>
      <c r="R3" s="8"/>
      <c r="S3" s="15" t="s">
        <v>853</v>
      </c>
      <c r="T3" s="881" t="s">
        <v>853</v>
      </c>
      <c r="U3" s="883" t="s">
        <v>855</v>
      </c>
      <c r="V3" s="883"/>
      <c r="W3" s="883"/>
      <c r="X3" s="883"/>
      <c r="Y3" s="883"/>
      <c r="Z3" s="883"/>
      <c r="AA3" s="883"/>
      <c r="AB3" s="883"/>
      <c r="AC3" s="883"/>
      <c r="AD3" s="883"/>
      <c r="AE3" s="883"/>
      <c r="AF3" s="883"/>
      <c r="AG3" s="883"/>
      <c r="AH3" s="883"/>
      <c r="AI3" s="881" t="s">
        <v>853</v>
      </c>
      <c r="AJ3" s="881" t="s">
        <v>853</v>
      </c>
      <c r="AK3" s="881" t="s">
        <v>853</v>
      </c>
      <c r="AL3" s="882" t="s">
        <v>853</v>
      </c>
    </row>
    <row r="4" spans="1:38" ht="14.25">
      <c r="A4" s="4" t="s">
        <v>853</v>
      </c>
      <c r="B4" s="8" t="s">
        <v>856</v>
      </c>
      <c r="C4" s="8"/>
      <c r="D4" s="8"/>
      <c r="E4" s="8"/>
      <c r="F4" s="8"/>
      <c r="G4" s="8"/>
      <c r="H4" s="8"/>
      <c r="I4" s="8"/>
      <c r="J4" s="8"/>
      <c r="S4" s="642" t="s">
        <v>853</v>
      </c>
      <c r="T4" s="881" t="s">
        <v>853</v>
      </c>
      <c r="U4" s="881" t="s">
        <v>853</v>
      </c>
      <c r="V4" s="881" t="s">
        <v>853</v>
      </c>
      <c r="W4" s="881" t="s">
        <v>853</v>
      </c>
      <c r="X4" s="881" t="s">
        <v>853</v>
      </c>
      <c r="Y4" s="881" t="s">
        <v>853</v>
      </c>
      <c r="Z4" s="881" t="s">
        <v>853</v>
      </c>
      <c r="AA4" s="881" t="s">
        <v>853</v>
      </c>
      <c r="AB4" s="881" t="s">
        <v>853</v>
      </c>
      <c r="AC4" s="881" t="s">
        <v>853</v>
      </c>
      <c r="AD4" s="881" t="s">
        <v>853</v>
      </c>
      <c r="AE4" s="881" t="s">
        <v>853</v>
      </c>
      <c r="AF4" s="881" t="s">
        <v>853</v>
      </c>
      <c r="AG4" s="881" t="s">
        <v>853</v>
      </c>
      <c r="AH4" s="881" t="s">
        <v>853</v>
      </c>
      <c r="AI4" s="881" t="s">
        <v>853</v>
      </c>
      <c r="AJ4" s="881" t="s">
        <v>853</v>
      </c>
      <c r="AK4" s="881" t="s">
        <v>853</v>
      </c>
      <c r="AL4" s="882" t="s">
        <v>853</v>
      </c>
    </row>
    <row r="5" spans="1:38" ht="14.25">
      <c r="A5" s="4" t="s">
        <v>853</v>
      </c>
      <c r="B5" s="8"/>
      <c r="S5" s="642" t="s">
        <v>853</v>
      </c>
      <c r="T5" s="881" t="s">
        <v>853</v>
      </c>
      <c r="U5" s="881" t="s">
        <v>857</v>
      </c>
      <c r="V5" s="881"/>
      <c r="W5" s="881"/>
      <c r="X5" s="881"/>
      <c r="Y5" s="881"/>
      <c r="Z5" s="881"/>
      <c r="AA5" s="881"/>
      <c r="AB5" s="881"/>
      <c r="AC5" s="881" t="s">
        <v>853</v>
      </c>
      <c r="AD5" s="881" t="s">
        <v>853</v>
      </c>
      <c r="AE5" s="881" t="s">
        <v>853</v>
      </c>
      <c r="AF5" s="881" t="s">
        <v>853</v>
      </c>
      <c r="AG5" s="881" t="s">
        <v>853</v>
      </c>
      <c r="AH5" s="881" t="s">
        <v>853</v>
      </c>
      <c r="AI5" s="881" t="s">
        <v>853</v>
      </c>
      <c r="AJ5" s="881" t="s">
        <v>853</v>
      </c>
      <c r="AK5" s="881" t="s">
        <v>853</v>
      </c>
      <c r="AL5" s="882" t="s">
        <v>853</v>
      </c>
    </row>
    <row r="6" spans="1:38" ht="14.25">
      <c r="A6" s="4" t="s">
        <v>853</v>
      </c>
      <c r="B6" s="8" t="s">
        <v>858</v>
      </c>
      <c r="C6" s="8"/>
      <c r="D6" s="8"/>
      <c r="E6" s="8"/>
      <c r="F6" s="8"/>
      <c r="G6" s="8"/>
      <c r="H6" s="8"/>
      <c r="I6" s="8"/>
      <c r="J6" s="8"/>
      <c r="K6" s="8"/>
      <c r="L6" s="8"/>
      <c r="M6" s="8"/>
      <c r="N6" s="8"/>
      <c r="O6" s="8"/>
      <c r="P6" s="8"/>
      <c r="Q6" s="8"/>
      <c r="R6" s="8"/>
      <c r="S6" s="642" t="s">
        <v>853</v>
      </c>
      <c r="T6" s="881" t="s">
        <v>853</v>
      </c>
      <c r="U6" s="884"/>
      <c r="V6" s="881" t="s">
        <v>853</v>
      </c>
      <c r="W6" s="881" t="s">
        <v>853</v>
      </c>
      <c r="X6" s="881" t="s">
        <v>853</v>
      </c>
      <c r="Y6" s="881" t="s">
        <v>853</v>
      </c>
      <c r="Z6" s="881" t="s">
        <v>853</v>
      </c>
      <c r="AA6" s="881" t="s">
        <v>853</v>
      </c>
      <c r="AB6" s="881" t="s">
        <v>853</v>
      </c>
      <c r="AC6" s="881" t="s">
        <v>853</v>
      </c>
      <c r="AD6" s="881" t="s">
        <v>853</v>
      </c>
      <c r="AE6" s="881" t="s">
        <v>853</v>
      </c>
      <c r="AF6" s="881" t="s">
        <v>853</v>
      </c>
      <c r="AG6" s="881" t="s">
        <v>853</v>
      </c>
      <c r="AH6" s="881" t="s">
        <v>853</v>
      </c>
      <c r="AI6" s="881" t="s">
        <v>853</v>
      </c>
      <c r="AJ6" s="881" t="s">
        <v>853</v>
      </c>
      <c r="AK6" s="881" t="s">
        <v>853</v>
      </c>
      <c r="AL6" s="882" t="s">
        <v>853</v>
      </c>
    </row>
    <row r="7" spans="1:38" ht="14.25">
      <c r="A7" s="4" t="s">
        <v>853</v>
      </c>
      <c r="B7" s="639" t="s">
        <v>859</v>
      </c>
      <c r="C7" s="8"/>
      <c r="D7" s="8"/>
      <c r="E7" s="8"/>
      <c r="F7" s="8"/>
      <c r="G7" s="8"/>
      <c r="H7" s="8"/>
      <c r="I7" s="8"/>
      <c r="J7" s="8"/>
      <c r="K7" s="8"/>
      <c r="L7" s="8"/>
      <c r="M7" s="8"/>
      <c r="N7" s="8"/>
      <c r="O7" s="8"/>
      <c r="P7" s="8"/>
      <c r="Q7" s="8"/>
      <c r="R7" s="8"/>
      <c r="S7" s="639"/>
      <c r="T7" s="881" t="s">
        <v>853</v>
      </c>
      <c r="U7" s="884" t="s">
        <v>860</v>
      </c>
      <c r="V7" s="881"/>
      <c r="W7" s="881"/>
      <c r="X7" s="881"/>
      <c r="Y7" s="881"/>
      <c r="Z7" s="881"/>
      <c r="AA7" s="881"/>
      <c r="AB7" s="881"/>
      <c r="AC7" s="881"/>
      <c r="AD7" s="881"/>
      <c r="AE7" s="881"/>
      <c r="AF7" s="881"/>
      <c r="AG7" s="881"/>
      <c r="AH7" s="881"/>
      <c r="AI7" s="881"/>
      <c r="AJ7" s="881" t="s">
        <v>853</v>
      </c>
      <c r="AK7" s="881" t="s">
        <v>853</v>
      </c>
      <c r="AL7" s="882" t="s">
        <v>853</v>
      </c>
    </row>
    <row r="8" spans="1:38" ht="14.25">
      <c r="A8" s="4" t="s">
        <v>853</v>
      </c>
      <c r="B8" s="8" t="s">
        <v>861</v>
      </c>
      <c r="C8" s="8"/>
      <c r="D8" s="8"/>
      <c r="E8" s="8"/>
      <c r="F8" s="8"/>
      <c r="G8" s="8"/>
      <c r="H8" s="8"/>
      <c r="I8" s="8"/>
      <c r="J8" s="8"/>
      <c r="K8" s="8"/>
      <c r="L8" s="8"/>
      <c r="M8" s="8"/>
      <c r="N8" s="8"/>
      <c r="O8" s="8"/>
      <c r="P8" s="8"/>
      <c r="S8" s="642" t="s">
        <v>853</v>
      </c>
      <c r="T8" s="881" t="s">
        <v>853</v>
      </c>
      <c r="U8" s="881" t="s">
        <v>853</v>
      </c>
      <c r="V8" s="881" t="s">
        <v>853</v>
      </c>
      <c r="W8" s="881" t="s">
        <v>853</v>
      </c>
      <c r="X8" s="881" t="s">
        <v>853</v>
      </c>
      <c r="Y8" s="881" t="s">
        <v>853</v>
      </c>
      <c r="Z8" s="881" t="s">
        <v>853</v>
      </c>
      <c r="AA8" s="881" t="s">
        <v>853</v>
      </c>
      <c r="AB8" s="881" t="s">
        <v>853</v>
      </c>
      <c r="AC8" s="881" t="s">
        <v>853</v>
      </c>
      <c r="AD8" s="881" t="s">
        <v>853</v>
      </c>
      <c r="AE8" s="881" t="s">
        <v>853</v>
      </c>
      <c r="AF8" s="881" t="s">
        <v>853</v>
      </c>
      <c r="AG8" s="881" t="s">
        <v>853</v>
      </c>
      <c r="AH8" s="881" t="s">
        <v>853</v>
      </c>
      <c r="AI8" s="881" t="s">
        <v>853</v>
      </c>
      <c r="AJ8" s="881" t="s">
        <v>853</v>
      </c>
      <c r="AK8" s="881" t="s">
        <v>853</v>
      </c>
      <c r="AL8" s="882" t="s">
        <v>853</v>
      </c>
    </row>
    <row r="9" spans="1:38" ht="12.75" customHeight="1">
      <c r="A9" s="4" t="s">
        <v>853</v>
      </c>
      <c r="B9" s="8"/>
      <c r="S9" s="642" t="s">
        <v>853</v>
      </c>
      <c r="T9" s="881" t="s">
        <v>853</v>
      </c>
      <c r="U9" s="881" t="s">
        <v>853</v>
      </c>
      <c r="V9" s="881" t="s">
        <v>853</v>
      </c>
      <c r="W9" s="881"/>
      <c r="X9" s="881"/>
      <c r="Y9" s="881"/>
      <c r="Z9" s="881"/>
      <c r="AA9" s="881"/>
      <c r="AB9" s="881"/>
      <c r="AC9" s="881"/>
      <c r="AD9" s="881"/>
      <c r="AE9" s="881"/>
      <c r="AF9" s="881"/>
      <c r="AG9" s="881"/>
      <c r="AH9" s="881" t="s">
        <v>853</v>
      </c>
      <c r="AI9" s="881" t="s">
        <v>853</v>
      </c>
      <c r="AJ9" s="881" t="s">
        <v>853</v>
      </c>
      <c r="AK9" s="881" t="s">
        <v>853</v>
      </c>
      <c r="AL9" s="882" t="s">
        <v>853</v>
      </c>
    </row>
    <row r="10" spans="1:38" ht="14.25">
      <c r="A10" s="4" t="s">
        <v>853</v>
      </c>
      <c r="B10" s="8" t="s">
        <v>862</v>
      </c>
      <c r="C10" s="8"/>
      <c r="D10" s="8"/>
      <c r="E10" s="8"/>
      <c r="F10" s="8"/>
      <c r="G10" s="8"/>
      <c r="H10" s="8"/>
      <c r="I10" s="8"/>
      <c r="J10" s="8"/>
      <c r="K10" s="8"/>
      <c r="L10" s="8"/>
      <c r="M10" s="8"/>
      <c r="N10" s="8"/>
      <c r="O10" s="8"/>
      <c r="P10" s="8"/>
      <c r="Q10" s="8"/>
      <c r="R10" s="8"/>
      <c r="S10" s="642" t="s">
        <v>853</v>
      </c>
      <c r="T10" s="881" t="s">
        <v>853</v>
      </c>
      <c r="U10" s="881" t="s">
        <v>853</v>
      </c>
      <c r="V10" s="881" t="s">
        <v>853</v>
      </c>
      <c r="W10" s="881"/>
      <c r="X10" s="881"/>
      <c r="Y10" s="881"/>
      <c r="Z10" s="881"/>
      <c r="AA10" s="881"/>
      <c r="AB10" s="881"/>
      <c r="AC10" s="881"/>
      <c r="AD10" s="881"/>
      <c r="AE10" s="881"/>
      <c r="AF10" s="881"/>
      <c r="AG10" s="881"/>
      <c r="AH10" s="881" t="s">
        <v>853</v>
      </c>
      <c r="AI10" s="881" t="s">
        <v>853</v>
      </c>
      <c r="AJ10" s="881" t="s">
        <v>853</v>
      </c>
      <c r="AK10" s="881" t="s">
        <v>853</v>
      </c>
      <c r="AL10" s="882" t="s">
        <v>853</v>
      </c>
    </row>
    <row r="11" spans="1:38" ht="14.25">
      <c r="A11" s="4" t="s">
        <v>853</v>
      </c>
      <c r="B11" s="8" t="s">
        <v>863</v>
      </c>
      <c r="C11" s="8"/>
      <c r="D11" s="8"/>
      <c r="E11" s="8"/>
      <c r="F11" s="8"/>
      <c r="G11" s="8"/>
      <c r="H11" s="8"/>
      <c r="I11" s="8"/>
      <c r="J11" s="8"/>
      <c r="K11" s="8"/>
      <c r="L11" s="8"/>
      <c r="M11" s="8"/>
      <c r="N11" s="8"/>
      <c r="O11" s="8"/>
      <c r="P11" s="8"/>
      <c r="Q11" s="8"/>
      <c r="S11" s="15" t="s">
        <v>853</v>
      </c>
      <c r="T11" s="881" t="s">
        <v>853</v>
      </c>
      <c r="U11" s="881" t="s">
        <v>853</v>
      </c>
      <c r="V11" s="881" t="s">
        <v>853</v>
      </c>
      <c r="W11" s="881"/>
      <c r="X11" s="881"/>
      <c r="Y11" s="881"/>
      <c r="Z11" s="881"/>
      <c r="AA11" s="881"/>
      <c r="AB11" s="881"/>
      <c r="AC11" s="881"/>
      <c r="AD11" s="881"/>
      <c r="AE11" s="881"/>
      <c r="AF11" s="881"/>
      <c r="AG11" s="881"/>
      <c r="AH11" s="881" t="s">
        <v>853</v>
      </c>
      <c r="AI11" s="881" t="s">
        <v>853</v>
      </c>
      <c r="AJ11" s="881" t="s">
        <v>853</v>
      </c>
      <c r="AK11" s="881" t="s">
        <v>853</v>
      </c>
      <c r="AL11" s="882" t="s">
        <v>853</v>
      </c>
    </row>
    <row r="12" spans="1:38" ht="14.25">
      <c r="A12" s="4" t="s">
        <v>853</v>
      </c>
      <c r="B12" s="8" t="s">
        <v>864</v>
      </c>
      <c r="C12" s="8"/>
      <c r="D12" s="8"/>
      <c r="E12" s="8"/>
      <c r="F12" s="8"/>
      <c r="G12" s="8"/>
      <c r="H12" s="8"/>
      <c r="I12" s="8"/>
      <c r="J12" s="8"/>
      <c r="K12" s="8"/>
      <c r="L12" s="8"/>
      <c r="M12" s="8"/>
      <c r="N12" s="8"/>
      <c r="O12" s="8"/>
      <c r="P12" s="8"/>
      <c r="S12" s="15" t="s">
        <v>853</v>
      </c>
      <c r="T12" s="881" t="s">
        <v>853</v>
      </c>
      <c r="U12" s="881" t="s">
        <v>853</v>
      </c>
      <c r="V12" s="881" t="s">
        <v>853</v>
      </c>
      <c r="W12" s="881"/>
      <c r="X12" s="881"/>
      <c r="Y12" s="881"/>
      <c r="Z12" s="881"/>
      <c r="AA12" s="881"/>
      <c r="AB12" s="881"/>
      <c r="AC12" s="881"/>
      <c r="AD12" s="881"/>
      <c r="AE12" s="881"/>
      <c r="AF12" s="881"/>
      <c r="AG12" s="881"/>
      <c r="AH12" s="881" t="s">
        <v>853</v>
      </c>
      <c r="AI12" s="881" t="s">
        <v>853</v>
      </c>
      <c r="AJ12" s="881" t="s">
        <v>853</v>
      </c>
      <c r="AK12" s="881" t="s">
        <v>853</v>
      </c>
      <c r="AL12" s="882" t="s">
        <v>853</v>
      </c>
    </row>
    <row r="13" spans="1:38" ht="14.25">
      <c r="A13" s="4" t="s">
        <v>853</v>
      </c>
      <c r="B13" s="8" t="s">
        <v>865</v>
      </c>
      <c r="C13" s="8"/>
      <c r="D13" s="8"/>
      <c r="E13" s="8"/>
      <c r="F13" s="8"/>
      <c r="G13" s="8"/>
      <c r="H13" s="8"/>
      <c r="I13" s="8"/>
      <c r="J13" s="8"/>
      <c r="K13" s="8"/>
      <c r="L13" s="8"/>
      <c r="M13" s="8"/>
      <c r="N13" s="8"/>
      <c r="O13" s="8"/>
      <c r="P13" s="8"/>
      <c r="Q13" s="8"/>
      <c r="R13" s="8"/>
      <c r="S13" s="15" t="s">
        <v>853</v>
      </c>
      <c r="T13" s="881" t="s">
        <v>853</v>
      </c>
      <c r="U13" s="881" t="s">
        <v>853</v>
      </c>
      <c r="V13" s="881" t="s">
        <v>853</v>
      </c>
      <c r="W13" s="881"/>
      <c r="X13" s="881"/>
      <c r="Y13" s="881"/>
      <c r="Z13" s="881"/>
      <c r="AA13" s="881"/>
      <c r="AB13" s="881"/>
      <c r="AC13" s="881"/>
      <c r="AD13" s="881"/>
      <c r="AE13" s="881"/>
      <c r="AF13" s="881"/>
      <c r="AG13" s="881"/>
      <c r="AH13" s="881" t="s">
        <v>853</v>
      </c>
      <c r="AI13" s="881" t="s">
        <v>853</v>
      </c>
      <c r="AJ13" s="881" t="s">
        <v>853</v>
      </c>
      <c r="AK13" s="881" t="s">
        <v>853</v>
      </c>
      <c r="AL13" s="882" t="s">
        <v>853</v>
      </c>
    </row>
    <row r="14" spans="1:38" ht="14.25">
      <c r="A14" s="4" t="s">
        <v>853</v>
      </c>
      <c r="S14" s="15" t="s">
        <v>853</v>
      </c>
      <c r="T14" s="881" t="s">
        <v>853</v>
      </c>
      <c r="U14" s="881" t="s">
        <v>853</v>
      </c>
      <c r="V14" s="881" t="s">
        <v>853</v>
      </c>
      <c r="W14" s="881"/>
      <c r="X14" s="881"/>
      <c r="Y14" s="881"/>
      <c r="Z14" s="881"/>
      <c r="AA14" s="881"/>
      <c r="AB14" s="881"/>
      <c r="AC14" s="881"/>
      <c r="AD14" s="881"/>
      <c r="AE14" s="881"/>
      <c r="AF14" s="881"/>
      <c r="AG14" s="881"/>
      <c r="AH14" s="881" t="s">
        <v>853</v>
      </c>
      <c r="AI14" s="881" t="s">
        <v>853</v>
      </c>
      <c r="AJ14" s="881" t="s">
        <v>853</v>
      </c>
      <c r="AK14" s="881" t="s">
        <v>853</v>
      </c>
      <c r="AL14" s="882" t="s">
        <v>853</v>
      </c>
    </row>
    <row r="15" spans="1:38" ht="14.25">
      <c r="A15" s="4" t="s">
        <v>853</v>
      </c>
      <c r="B15" s="8"/>
      <c r="S15" s="15" t="s">
        <v>853</v>
      </c>
      <c r="T15" s="881" t="s">
        <v>853</v>
      </c>
      <c r="U15" s="881" t="s">
        <v>853</v>
      </c>
      <c r="V15" s="881" t="s">
        <v>853</v>
      </c>
      <c r="W15" s="881"/>
      <c r="X15" s="881"/>
      <c r="Y15" s="881"/>
      <c r="Z15" s="881"/>
      <c r="AA15" s="881"/>
      <c r="AB15" s="881"/>
      <c r="AC15" s="881"/>
      <c r="AD15" s="881"/>
      <c r="AE15" s="881"/>
      <c r="AF15" s="881"/>
      <c r="AG15" s="881"/>
      <c r="AH15" s="881" t="s">
        <v>853</v>
      </c>
      <c r="AI15" s="881" t="s">
        <v>853</v>
      </c>
      <c r="AJ15" s="881" t="s">
        <v>853</v>
      </c>
      <c r="AK15" s="881" t="s">
        <v>853</v>
      </c>
      <c r="AL15" s="882" t="s">
        <v>853</v>
      </c>
    </row>
    <row r="16" spans="1:38" ht="14.25">
      <c r="A16" s="4" t="s">
        <v>853</v>
      </c>
      <c r="B16" s="8"/>
      <c r="S16" s="15" t="s">
        <v>853</v>
      </c>
      <c r="T16" s="881" t="s">
        <v>853</v>
      </c>
      <c r="U16" s="881" t="s">
        <v>853</v>
      </c>
      <c r="V16" s="881" t="s">
        <v>853</v>
      </c>
      <c r="W16" s="881"/>
      <c r="X16" s="881"/>
      <c r="Y16" s="881"/>
      <c r="Z16" s="881"/>
      <c r="AA16" s="881"/>
      <c r="AB16" s="881"/>
      <c r="AC16" s="881"/>
      <c r="AD16" s="881"/>
      <c r="AE16" s="881"/>
      <c r="AF16" s="881"/>
      <c r="AG16" s="881"/>
      <c r="AH16" s="881" t="s">
        <v>853</v>
      </c>
      <c r="AI16" s="881" t="s">
        <v>853</v>
      </c>
      <c r="AJ16" s="881" t="s">
        <v>853</v>
      </c>
      <c r="AK16" s="881" t="s">
        <v>853</v>
      </c>
      <c r="AL16" s="882" t="s">
        <v>853</v>
      </c>
    </row>
    <row r="17" spans="1:38" ht="14.25">
      <c r="A17" s="4" t="s">
        <v>853</v>
      </c>
      <c r="B17" s="8"/>
      <c r="S17" s="15" t="s">
        <v>853</v>
      </c>
      <c r="T17" s="881" t="s">
        <v>853</v>
      </c>
      <c r="U17" s="881" t="s">
        <v>853</v>
      </c>
      <c r="V17" s="881" t="s">
        <v>853</v>
      </c>
      <c r="W17" s="881"/>
      <c r="X17" s="881"/>
      <c r="Y17" s="881"/>
      <c r="Z17" s="881"/>
      <c r="AA17" s="881"/>
      <c r="AB17" s="881"/>
      <c r="AC17" s="881"/>
      <c r="AD17" s="881"/>
      <c r="AE17" s="881"/>
      <c r="AF17" s="881"/>
      <c r="AG17" s="881"/>
      <c r="AH17" s="881" t="s">
        <v>853</v>
      </c>
      <c r="AI17" s="881" t="s">
        <v>853</v>
      </c>
      <c r="AJ17" s="881" t="s">
        <v>853</v>
      </c>
      <c r="AK17" s="881" t="s">
        <v>853</v>
      </c>
      <c r="AL17" s="882" t="s">
        <v>853</v>
      </c>
    </row>
    <row r="18" spans="1:38" ht="14.25">
      <c r="A18" s="4" t="s">
        <v>853</v>
      </c>
      <c r="B18" s="8"/>
      <c r="S18" s="15" t="s">
        <v>853</v>
      </c>
      <c r="T18" s="881" t="s">
        <v>853</v>
      </c>
      <c r="U18" s="881" t="s">
        <v>853</v>
      </c>
      <c r="V18" s="881" t="s">
        <v>853</v>
      </c>
      <c r="W18" s="881"/>
      <c r="X18" s="881"/>
      <c r="Y18" s="881"/>
      <c r="Z18" s="881"/>
      <c r="AA18" s="881"/>
      <c r="AB18" s="881"/>
      <c r="AC18" s="881"/>
      <c r="AD18" s="881"/>
      <c r="AE18" s="881"/>
      <c r="AF18" s="881"/>
      <c r="AG18" s="881"/>
      <c r="AH18" s="881" t="s">
        <v>853</v>
      </c>
      <c r="AI18" s="881" t="s">
        <v>853</v>
      </c>
      <c r="AJ18" s="881" t="s">
        <v>853</v>
      </c>
      <c r="AK18" s="881" t="s">
        <v>853</v>
      </c>
      <c r="AL18" s="882" t="s">
        <v>853</v>
      </c>
    </row>
    <row r="19" spans="1:38" ht="14.25">
      <c r="A19" s="4" t="s">
        <v>853</v>
      </c>
      <c r="B19" s="8"/>
      <c r="C19" s="8"/>
      <c r="S19" s="15" t="s">
        <v>853</v>
      </c>
      <c r="T19" s="881" t="s">
        <v>853</v>
      </c>
      <c r="U19" s="881" t="s">
        <v>853</v>
      </c>
      <c r="V19" s="881" t="s">
        <v>853</v>
      </c>
      <c r="W19" s="881"/>
      <c r="X19" s="881"/>
      <c r="Y19" s="881"/>
      <c r="Z19" s="881"/>
      <c r="AA19" s="881"/>
      <c r="AB19" s="881"/>
      <c r="AC19" s="881"/>
      <c r="AD19" s="881"/>
      <c r="AE19" s="881"/>
      <c r="AF19" s="881"/>
      <c r="AG19" s="881"/>
      <c r="AH19" s="881" t="s">
        <v>853</v>
      </c>
      <c r="AI19" s="881" t="s">
        <v>853</v>
      </c>
      <c r="AJ19" s="881" t="s">
        <v>853</v>
      </c>
      <c r="AK19" s="881" t="s">
        <v>853</v>
      </c>
      <c r="AL19" s="882" t="s">
        <v>853</v>
      </c>
    </row>
    <row r="20" spans="1:38" ht="14.25">
      <c r="A20" s="4" t="s">
        <v>853</v>
      </c>
      <c r="S20" s="15" t="s">
        <v>853</v>
      </c>
      <c r="T20" s="881" t="s">
        <v>853</v>
      </c>
      <c r="U20" s="881" t="s">
        <v>853</v>
      </c>
      <c r="V20" s="881" t="s">
        <v>853</v>
      </c>
      <c r="W20" s="881"/>
      <c r="X20" s="881"/>
      <c r="Y20" s="881"/>
      <c r="Z20" s="881"/>
      <c r="AA20" s="881"/>
      <c r="AB20" s="881"/>
      <c r="AC20" s="881"/>
      <c r="AD20" s="881"/>
      <c r="AE20" s="881"/>
      <c r="AF20" s="881"/>
      <c r="AG20" s="881"/>
      <c r="AH20" s="881" t="s">
        <v>853</v>
      </c>
      <c r="AI20" s="881" t="s">
        <v>853</v>
      </c>
      <c r="AJ20" s="881" t="s">
        <v>853</v>
      </c>
      <c r="AK20" s="881" t="s">
        <v>853</v>
      </c>
      <c r="AL20" s="882" t="s">
        <v>853</v>
      </c>
    </row>
    <row r="21" spans="1:38" ht="14.25">
      <c r="A21" s="4" t="s">
        <v>853</v>
      </c>
      <c r="B21" s="8"/>
      <c r="S21" s="15" t="s">
        <v>853</v>
      </c>
      <c r="T21" s="881" t="s">
        <v>853</v>
      </c>
      <c r="U21" s="881" t="s">
        <v>853</v>
      </c>
      <c r="V21" s="881" t="s">
        <v>853</v>
      </c>
      <c r="W21" s="881"/>
      <c r="X21" s="881"/>
      <c r="Y21" s="881"/>
      <c r="Z21" s="881"/>
      <c r="AA21" s="881"/>
      <c r="AB21" s="881"/>
      <c r="AC21" s="881"/>
      <c r="AD21" s="881"/>
      <c r="AE21" s="881"/>
      <c r="AF21" s="881"/>
      <c r="AG21" s="881"/>
      <c r="AH21" s="881" t="s">
        <v>853</v>
      </c>
      <c r="AI21" s="881" t="s">
        <v>853</v>
      </c>
      <c r="AJ21" s="881" t="s">
        <v>853</v>
      </c>
      <c r="AK21" s="881" t="s">
        <v>853</v>
      </c>
      <c r="AL21" s="882" t="s">
        <v>853</v>
      </c>
    </row>
    <row r="22" spans="1:38" ht="14.25">
      <c r="A22" s="4" t="s">
        <v>853</v>
      </c>
      <c r="B22" s="8"/>
      <c r="S22" s="15" t="s">
        <v>853</v>
      </c>
      <c r="T22" s="881" t="s">
        <v>853</v>
      </c>
      <c r="U22" s="881" t="s">
        <v>853</v>
      </c>
      <c r="V22" s="881" t="s">
        <v>853</v>
      </c>
      <c r="W22" s="881"/>
      <c r="X22" s="881"/>
      <c r="Y22" s="881"/>
      <c r="Z22" s="881"/>
      <c r="AA22" s="881"/>
      <c r="AB22" s="881"/>
      <c r="AC22" s="881"/>
      <c r="AD22" s="881"/>
      <c r="AE22" s="881"/>
      <c r="AF22" s="881"/>
      <c r="AG22" s="881"/>
      <c r="AH22" s="881" t="s">
        <v>853</v>
      </c>
      <c r="AI22" s="881" t="s">
        <v>853</v>
      </c>
      <c r="AJ22" s="881" t="s">
        <v>853</v>
      </c>
      <c r="AK22" s="881" t="s">
        <v>853</v>
      </c>
      <c r="AL22" s="882" t="s">
        <v>853</v>
      </c>
    </row>
    <row r="23" spans="1:38" ht="14.25">
      <c r="A23" s="4" t="s">
        <v>853</v>
      </c>
      <c r="B23" s="8"/>
      <c r="S23" s="15" t="s">
        <v>853</v>
      </c>
      <c r="T23" s="881" t="s">
        <v>853</v>
      </c>
      <c r="U23" s="885"/>
      <c r="V23" s="881" t="s">
        <v>853</v>
      </c>
      <c r="W23" s="881"/>
      <c r="X23" s="881"/>
      <c r="Y23" s="881"/>
      <c r="Z23" s="881"/>
      <c r="AA23" s="881"/>
      <c r="AB23" s="881"/>
      <c r="AC23" s="881"/>
      <c r="AD23" s="881"/>
      <c r="AE23" s="881"/>
      <c r="AF23" s="881"/>
      <c r="AG23" s="881"/>
      <c r="AH23" s="881" t="s">
        <v>853</v>
      </c>
      <c r="AI23" s="881" t="s">
        <v>853</v>
      </c>
      <c r="AJ23" s="881" t="s">
        <v>853</v>
      </c>
      <c r="AK23" s="881" t="s">
        <v>853</v>
      </c>
      <c r="AL23" s="882" t="s">
        <v>853</v>
      </c>
    </row>
    <row r="24" spans="1:38" ht="14.25">
      <c r="A24" s="4" t="s">
        <v>853</v>
      </c>
      <c r="S24" s="15" t="s">
        <v>853</v>
      </c>
      <c r="T24" s="881" t="s">
        <v>853</v>
      </c>
      <c r="U24" s="881" t="s">
        <v>853</v>
      </c>
      <c r="V24" s="881" t="s">
        <v>853</v>
      </c>
      <c r="W24" s="881"/>
      <c r="X24" s="881"/>
      <c r="Y24" s="881"/>
      <c r="Z24" s="881"/>
      <c r="AA24" s="881"/>
      <c r="AB24" s="881"/>
      <c r="AC24" s="881"/>
      <c r="AD24" s="881"/>
      <c r="AE24" s="881"/>
      <c r="AF24" s="881"/>
      <c r="AG24" s="881"/>
      <c r="AH24" s="881" t="s">
        <v>853</v>
      </c>
      <c r="AI24" s="881" t="s">
        <v>853</v>
      </c>
      <c r="AJ24" s="881" t="s">
        <v>853</v>
      </c>
      <c r="AK24" s="881" t="s">
        <v>853</v>
      </c>
      <c r="AL24" s="882" t="s">
        <v>853</v>
      </c>
    </row>
    <row r="25" spans="1:38" ht="14.25">
      <c r="A25" s="4" t="s">
        <v>853</v>
      </c>
      <c r="B25" s="8"/>
      <c r="S25" s="15" t="s">
        <v>853</v>
      </c>
      <c r="T25" s="881" t="s">
        <v>853</v>
      </c>
      <c r="U25" s="881" t="s">
        <v>853</v>
      </c>
      <c r="V25" s="881" t="s">
        <v>853</v>
      </c>
      <c r="W25" s="881"/>
      <c r="X25" s="881"/>
      <c r="Y25" s="881"/>
      <c r="Z25" s="881"/>
      <c r="AA25" s="881"/>
      <c r="AB25" s="881"/>
      <c r="AC25" s="881"/>
      <c r="AD25" s="881"/>
      <c r="AE25" s="881"/>
      <c r="AF25" s="881"/>
      <c r="AG25" s="881"/>
      <c r="AH25" s="881" t="s">
        <v>853</v>
      </c>
      <c r="AI25" s="881" t="s">
        <v>853</v>
      </c>
      <c r="AJ25" s="881" t="s">
        <v>853</v>
      </c>
      <c r="AK25" s="881" t="s">
        <v>853</v>
      </c>
      <c r="AL25" s="882" t="s">
        <v>853</v>
      </c>
    </row>
    <row r="26" spans="1:38" ht="14.25">
      <c r="A26" s="4" t="s">
        <v>853</v>
      </c>
      <c r="B26" s="8"/>
      <c r="S26" s="15" t="s">
        <v>853</v>
      </c>
      <c r="T26" s="881" t="s">
        <v>853</v>
      </c>
      <c r="U26" s="881" t="s">
        <v>866</v>
      </c>
      <c r="V26" s="881"/>
      <c r="W26" s="881"/>
      <c r="X26" s="881"/>
      <c r="Y26" s="881"/>
      <c r="Z26" s="881"/>
      <c r="AA26" s="881"/>
      <c r="AB26" s="881"/>
      <c r="AC26" s="881"/>
      <c r="AD26" s="881"/>
      <c r="AE26" s="881" t="s">
        <v>853</v>
      </c>
      <c r="AF26" s="881" t="s">
        <v>853</v>
      </c>
      <c r="AG26" s="881" t="s">
        <v>853</v>
      </c>
      <c r="AH26" s="881" t="s">
        <v>853</v>
      </c>
      <c r="AI26" s="881" t="s">
        <v>853</v>
      </c>
      <c r="AJ26" s="881" t="s">
        <v>853</v>
      </c>
      <c r="AK26" s="881" t="s">
        <v>853</v>
      </c>
      <c r="AL26" s="882" t="s">
        <v>853</v>
      </c>
    </row>
    <row r="27" spans="1:38" ht="14.25">
      <c r="A27" s="4" t="s">
        <v>853</v>
      </c>
      <c r="B27" s="8"/>
      <c r="S27" s="15" t="s">
        <v>853</v>
      </c>
      <c r="T27" s="881" t="s">
        <v>853</v>
      </c>
      <c r="U27" s="881" t="s">
        <v>853</v>
      </c>
      <c r="V27" s="881" t="s">
        <v>853</v>
      </c>
      <c r="W27" s="881" t="s">
        <v>853</v>
      </c>
      <c r="X27" s="881" t="s">
        <v>853</v>
      </c>
      <c r="Y27" s="881" t="s">
        <v>853</v>
      </c>
      <c r="Z27" s="881" t="s">
        <v>853</v>
      </c>
      <c r="AA27" s="881" t="s">
        <v>853</v>
      </c>
      <c r="AB27" s="881" t="s">
        <v>853</v>
      </c>
      <c r="AC27" s="881" t="s">
        <v>853</v>
      </c>
      <c r="AD27" s="881" t="s">
        <v>853</v>
      </c>
      <c r="AE27" s="881" t="s">
        <v>853</v>
      </c>
      <c r="AF27" s="881" t="s">
        <v>853</v>
      </c>
      <c r="AG27" s="881" t="s">
        <v>853</v>
      </c>
      <c r="AH27" s="881" t="s">
        <v>853</v>
      </c>
      <c r="AI27" s="881" t="s">
        <v>853</v>
      </c>
      <c r="AJ27" s="881" t="s">
        <v>853</v>
      </c>
      <c r="AK27" s="881" t="s">
        <v>853</v>
      </c>
      <c r="AL27" s="882" t="s">
        <v>853</v>
      </c>
    </row>
    <row r="28" spans="1:38" ht="14.25">
      <c r="A28" s="4" t="s">
        <v>853</v>
      </c>
      <c r="B28" s="8"/>
      <c r="S28" s="15" t="s">
        <v>853</v>
      </c>
      <c r="T28" s="881" t="s">
        <v>853</v>
      </c>
      <c r="U28" s="884" t="s">
        <v>867</v>
      </c>
      <c r="V28" s="881"/>
      <c r="W28" s="881"/>
      <c r="X28" s="881"/>
      <c r="Y28" s="881"/>
      <c r="Z28" s="881"/>
      <c r="AA28" s="881"/>
      <c r="AB28" s="881"/>
      <c r="AC28" s="881"/>
      <c r="AD28" s="881"/>
      <c r="AE28" s="881"/>
      <c r="AF28" s="881"/>
      <c r="AG28" s="881"/>
      <c r="AH28" s="881"/>
      <c r="AI28" s="881"/>
      <c r="AJ28" s="881" t="s">
        <v>853</v>
      </c>
      <c r="AK28" s="881" t="s">
        <v>853</v>
      </c>
      <c r="AL28" s="882" t="s">
        <v>853</v>
      </c>
    </row>
    <row r="29" spans="1:38" ht="14.25">
      <c r="A29" s="4" t="s">
        <v>853</v>
      </c>
      <c r="B29" s="8"/>
      <c r="S29" s="15" t="s">
        <v>853</v>
      </c>
      <c r="T29" s="881" t="s">
        <v>853</v>
      </c>
      <c r="U29" s="881" t="s">
        <v>868</v>
      </c>
      <c r="V29" s="881"/>
      <c r="W29" s="881"/>
      <c r="X29" s="881"/>
      <c r="Y29" s="881"/>
      <c r="Z29" s="881"/>
      <c r="AA29" s="881"/>
      <c r="AB29" s="881"/>
      <c r="AC29" s="881" t="s">
        <v>853</v>
      </c>
      <c r="AD29" s="881" t="s">
        <v>853</v>
      </c>
      <c r="AE29" s="881" t="s">
        <v>853</v>
      </c>
      <c r="AF29" s="881" t="s">
        <v>853</v>
      </c>
      <c r="AG29" s="881" t="s">
        <v>853</v>
      </c>
      <c r="AH29" s="881" t="s">
        <v>853</v>
      </c>
      <c r="AI29" s="881" t="s">
        <v>853</v>
      </c>
      <c r="AJ29" s="881" t="s">
        <v>853</v>
      </c>
      <c r="AK29" s="881" t="s">
        <v>853</v>
      </c>
      <c r="AL29" s="882" t="s">
        <v>853</v>
      </c>
    </row>
    <row r="30" spans="1:38" ht="12.75" customHeight="1">
      <c r="A30" s="4" t="s">
        <v>853</v>
      </c>
      <c r="B30" s="8"/>
      <c r="S30" s="15" t="s">
        <v>853</v>
      </c>
      <c r="T30" s="881" t="s">
        <v>853</v>
      </c>
      <c r="U30" s="881"/>
      <c r="V30" s="881"/>
      <c r="W30" s="881"/>
      <c r="X30" s="881"/>
      <c r="Y30" s="881"/>
      <c r="Z30" s="881"/>
      <c r="AA30" s="881"/>
      <c r="AB30" s="881"/>
      <c r="AC30" s="881"/>
      <c r="AD30" s="881"/>
      <c r="AE30" s="881"/>
      <c r="AF30" s="881"/>
      <c r="AG30" s="881"/>
      <c r="AH30" s="881"/>
      <c r="AI30" s="881"/>
      <c r="AJ30" s="881" t="s">
        <v>853</v>
      </c>
      <c r="AK30" s="881" t="s">
        <v>853</v>
      </c>
      <c r="AL30" s="882" t="s">
        <v>853</v>
      </c>
    </row>
    <row r="31" spans="1:38" ht="14.25">
      <c r="A31" s="4" t="s">
        <v>853</v>
      </c>
      <c r="B31" s="8"/>
      <c r="C31" s="8"/>
      <c r="S31" s="15" t="s">
        <v>853</v>
      </c>
      <c r="T31" s="881" t="s">
        <v>853</v>
      </c>
      <c r="U31" s="881"/>
      <c r="V31" s="881"/>
      <c r="W31" s="881"/>
      <c r="X31" s="881"/>
      <c r="Y31" s="881"/>
      <c r="Z31" s="881"/>
      <c r="AA31" s="881"/>
      <c r="AB31" s="881"/>
      <c r="AC31" s="881"/>
      <c r="AD31" s="881"/>
      <c r="AE31" s="881"/>
      <c r="AF31" s="881"/>
      <c r="AG31" s="881"/>
      <c r="AH31" s="881"/>
      <c r="AI31" s="881"/>
      <c r="AJ31" s="881" t="s">
        <v>853</v>
      </c>
      <c r="AK31" s="881" t="s">
        <v>853</v>
      </c>
      <c r="AL31" s="882" t="s">
        <v>853</v>
      </c>
    </row>
    <row r="32" spans="1:38" ht="14.25">
      <c r="A32" s="4" t="s">
        <v>853</v>
      </c>
      <c r="S32" s="15" t="s">
        <v>853</v>
      </c>
      <c r="T32" s="881" t="s">
        <v>853</v>
      </c>
      <c r="U32" s="881"/>
      <c r="V32" s="881"/>
      <c r="W32" s="881"/>
      <c r="X32" s="881"/>
      <c r="Y32" s="881"/>
      <c r="Z32" s="881"/>
      <c r="AA32" s="881"/>
      <c r="AB32" s="881"/>
      <c r="AC32" s="881"/>
      <c r="AD32" s="881"/>
      <c r="AE32" s="881"/>
      <c r="AF32" s="881"/>
      <c r="AG32" s="881"/>
      <c r="AH32" s="881"/>
      <c r="AI32" s="881"/>
      <c r="AJ32" s="881" t="s">
        <v>853</v>
      </c>
      <c r="AK32" s="881" t="s">
        <v>853</v>
      </c>
      <c r="AL32" s="882" t="s">
        <v>853</v>
      </c>
    </row>
    <row r="33" spans="1:38" ht="14.25">
      <c r="A33" s="4" t="s">
        <v>853</v>
      </c>
      <c r="B33" s="8" t="s">
        <v>869</v>
      </c>
      <c r="C33" s="8"/>
      <c r="D33" s="8"/>
      <c r="E33" s="8"/>
      <c r="F33" s="8"/>
      <c r="G33" s="8"/>
      <c r="H33" s="8"/>
      <c r="I33" s="8"/>
      <c r="J33" s="8"/>
      <c r="K33" s="8"/>
      <c r="L33" s="8"/>
      <c r="M33" s="8"/>
      <c r="N33" s="8"/>
      <c r="O33" s="8"/>
      <c r="P33" s="8"/>
      <c r="Q33" s="8"/>
      <c r="R33" s="8"/>
      <c r="S33" s="15" t="s">
        <v>853</v>
      </c>
      <c r="T33" s="881" t="s">
        <v>853</v>
      </c>
      <c r="U33" s="881"/>
      <c r="V33" s="881"/>
      <c r="W33" s="881"/>
      <c r="X33" s="881"/>
      <c r="Y33" s="881"/>
      <c r="Z33" s="881"/>
      <c r="AA33" s="881"/>
      <c r="AB33" s="881"/>
      <c r="AC33" s="881"/>
      <c r="AD33" s="881"/>
      <c r="AE33" s="881"/>
      <c r="AF33" s="881"/>
      <c r="AG33" s="881"/>
      <c r="AH33" s="881"/>
      <c r="AI33" s="881"/>
      <c r="AJ33" s="881" t="s">
        <v>853</v>
      </c>
      <c r="AK33" s="881" t="s">
        <v>853</v>
      </c>
      <c r="AL33" s="882" t="s">
        <v>853</v>
      </c>
    </row>
    <row r="34" spans="1:38" ht="14.25">
      <c r="A34" s="4" t="s">
        <v>853</v>
      </c>
      <c r="B34" s="640" t="s">
        <v>870</v>
      </c>
      <c r="C34" s="8"/>
      <c r="D34" s="8"/>
      <c r="E34" s="8"/>
      <c r="F34" s="8"/>
      <c r="G34" s="8"/>
      <c r="H34" s="8"/>
      <c r="I34" s="8"/>
      <c r="J34" s="8"/>
      <c r="K34" s="8"/>
      <c r="L34" s="8"/>
      <c r="M34" s="8"/>
      <c r="N34" s="8"/>
      <c r="O34" s="8"/>
      <c r="P34" s="8"/>
      <c r="Q34" s="8"/>
      <c r="S34" s="15" t="s">
        <v>853</v>
      </c>
      <c r="T34" s="881" t="s">
        <v>853</v>
      </c>
      <c r="U34" s="881"/>
      <c r="V34" s="881"/>
      <c r="W34" s="881"/>
      <c r="X34" s="881"/>
      <c r="Y34" s="881"/>
      <c r="Z34" s="881"/>
      <c r="AA34" s="881"/>
      <c r="AB34" s="881"/>
      <c r="AC34" s="881"/>
      <c r="AD34" s="881"/>
      <c r="AE34" s="881"/>
      <c r="AF34" s="881"/>
      <c r="AG34" s="881"/>
      <c r="AH34" s="881"/>
      <c r="AI34" s="881"/>
      <c r="AJ34" s="881" t="s">
        <v>853</v>
      </c>
      <c r="AK34" s="881" t="s">
        <v>853</v>
      </c>
      <c r="AL34" s="882" t="s">
        <v>853</v>
      </c>
    </row>
    <row r="35" spans="1:38" ht="14.25">
      <c r="A35" s="4" t="s">
        <v>853</v>
      </c>
      <c r="B35" s="8"/>
      <c r="S35" s="15" t="s">
        <v>853</v>
      </c>
      <c r="T35" s="881" t="s">
        <v>853</v>
      </c>
      <c r="U35" s="881"/>
      <c r="V35" s="881"/>
      <c r="W35" s="881"/>
      <c r="X35" s="881"/>
      <c r="Y35" s="881"/>
      <c r="Z35" s="881"/>
      <c r="AA35" s="881"/>
      <c r="AB35" s="881"/>
      <c r="AC35" s="881"/>
      <c r="AD35" s="881"/>
      <c r="AE35" s="881"/>
      <c r="AF35" s="881"/>
      <c r="AG35" s="881"/>
      <c r="AH35" s="881"/>
      <c r="AI35" s="881"/>
      <c r="AJ35" s="881" t="s">
        <v>853</v>
      </c>
      <c r="AK35" s="881" t="s">
        <v>853</v>
      </c>
      <c r="AL35" s="882" t="s">
        <v>853</v>
      </c>
    </row>
    <row r="36" spans="1:38" ht="14.25">
      <c r="A36" s="4" t="s">
        <v>853</v>
      </c>
      <c r="S36" s="15" t="s">
        <v>853</v>
      </c>
      <c r="T36" s="881" t="s">
        <v>853</v>
      </c>
      <c r="U36" s="881"/>
      <c r="V36" s="881"/>
      <c r="W36" s="881"/>
      <c r="X36" s="881"/>
      <c r="Y36" s="881"/>
      <c r="Z36" s="881"/>
      <c r="AA36" s="881"/>
      <c r="AB36" s="881"/>
      <c r="AC36" s="881"/>
      <c r="AD36" s="881"/>
      <c r="AE36" s="881"/>
      <c r="AF36" s="881"/>
      <c r="AG36" s="881"/>
      <c r="AH36" s="881"/>
      <c r="AI36" s="881"/>
      <c r="AJ36" s="881" t="s">
        <v>853</v>
      </c>
      <c r="AK36" s="881" t="s">
        <v>853</v>
      </c>
      <c r="AL36" s="882" t="s">
        <v>853</v>
      </c>
    </row>
    <row r="37" spans="1:38" ht="14.25">
      <c r="A37" s="4" t="s">
        <v>853</v>
      </c>
      <c r="S37" s="15" t="s">
        <v>853</v>
      </c>
      <c r="T37" s="881" t="s">
        <v>853</v>
      </c>
      <c r="U37" s="881"/>
      <c r="V37" s="881"/>
      <c r="W37" s="881"/>
      <c r="X37" s="881"/>
      <c r="Y37" s="881"/>
      <c r="Z37" s="881"/>
      <c r="AA37" s="881"/>
      <c r="AB37" s="881"/>
      <c r="AC37" s="881"/>
      <c r="AD37" s="881"/>
      <c r="AE37" s="881"/>
      <c r="AF37" s="881"/>
      <c r="AG37" s="881"/>
      <c r="AH37" s="881"/>
      <c r="AI37" s="881"/>
      <c r="AJ37" s="881" t="s">
        <v>853</v>
      </c>
      <c r="AK37" s="881" t="s">
        <v>853</v>
      </c>
      <c r="AL37" s="882" t="s">
        <v>853</v>
      </c>
    </row>
    <row r="38" spans="1:38" ht="14.25">
      <c r="A38" s="4" t="s">
        <v>853</v>
      </c>
      <c r="S38" s="15" t="s">
        <v>853</v>
      </c>
      <c r="T38" s="881" t="s">
        <v>853</v>
      </c>
      <c r="U38" s="881"/>
      <c r="V38" s="881"/>
      <c r="W38" s="881"/>
      <c r="X38" s="881"/>
      <c r="Y38" s="881"/>
      <c r="Z38" s="881"/>
      <c r="AA38" s="881"/>
      <c r="AB38" s="881"/>
      <c r="AC38" s="881"/>
      <c r="AD38" s="881"/>
      <c r="AE38" s="881"/>
      <c r="AF38" s="881"/>
      <c r="AG38" s="881"/>
      <c r="AH38" s="881"/>
      <c r="AI38" s="881"/>
      <c r="AJ38" s="881" t="s">
        <v>853</v>
      </c>
      <c r="AK38" s="881" t="s">
        <v>853</v>
      </c>
      <c r="AL38" s="882" t="s">
        <v>853</v>
      </c>
    </row>
    <row r="39" spans="1:38" ht="14.25">
      <c r="A39" s="4" t="s">
        <v>853</v>
      </c>
      <c r="S39" s="15" t="s">
        <v>853</v>
      </c>
      <c r="T39" s="881" t="s">
        <v>853</v>
      </c>
      <c r="U39" s="881"/>
      <c r="V39" s="881"/>
      <c r="W39" s="881"/>
      <c r="X39" s="881"/>
      <c r="Y39" s="881"/>
      <c r="Z39" s="881"/>
      <c r="AA39" s="881"/>
      <c r="AB39" s="881"/>
      <c r="AC39" s="881"/>
      <c r="AD39" s="881"/>
      <c r="AE39" s="881"/>
      <c r="AF39" s="881"/>
      <c r="AG39" s="881"/>
      <c r="AH39" s="881"/>
      <c r="AI39" s="881"/>
      <c r="AJ39" s="881" t="s">
        <v>853</v>
      </c>
      <c r="AK39" s="881" t="s">
        <v>853</v>
      </c>
      <c r="AL39" s="882" t="s">
        <v>853</v>
      </c>
    </row>
    <row r="40" spans="1:38" ht="14.25">
      <c r="A40" s="4" t="s">
        <v>853</v>
      </c>
      <c r="S40" s="15" t="s">
        <v>853</v>
      </c>
      <c r="T40" s="881" t="s">
        <v>853</v>
      </c>
      <c r="U40" s="881"/>
      <c r="V40" s="881"/>
      <c r="W40" s="881"/>
      <c r="X40" s="881"/>
      <c r="Y40" s="881"/>
      <c r="Z40" s="881"/>
      <c r="AA40" s="881"/>
      <c r="AB40" s="881"/>
      <c r="AC40" s="881"/>
      <c r="AD40" s="881"/>
      <c r="AE40" s="881"/>
      <c r="AF40" s="881"/>
      <c r="AG40" s="881"/>
      <c r="AH40" s="881"/>
      <c r="AI40" s="881"/>
      <c r="AJ40" s="881" t="s">
        <v>853</v>
      </c>
      <c r="AK40" s="881" t="s">
        <v>853</v>
      </c>
      <c r="AL40" s="882" t="s">
        <v>853</v>
      </c>
    </row>
    <row r="41" spans="1:38" ht="14.25">
      <c r="A41" s="4" t="s">
        <v>853</v>
      </c>
      <c r="S41" s="15" t="s">
        <v>853</v>
      </c>
      <c r="T41" s="881" t="s">
        <v>853</v>
      </c>
      <c r="U41" s="881"/>
      <c r="V41" s="881"/>
      <c r="W41" s="881"/>
      <c r="X41" s="881"/>
      <c r="Y41" s="881"/>
      <c r="Z41" s="881"/>
      <c r="AA41" s="881"/>
      <c r="AB41" s="881"/>
      <c r="AC41" s="881"/>
      <c r="AD41" s="881"/>
      <c r="AE41" s="881"/>
      <c r="AF41" s="881"/>
      <c r="AG41" s="881"/>
      <c r="AH41" s="881"/>
      <c r="AI41" s="881"/>
      <c r="AJ41" s="881" t="s">
        <v>853</v>
      </c>
      <c r="AK41" s="881" t="s">
        <v>853</v>
      </c>
      <c r="AL41" s="882" t="s">
        <v>853</v>
      </c>
    </row>
    <row r="42" spans="1:38" ht="14.25">
      <c r="A42" s="4" t="s">
        <v>853</v>
      </c>
      <c r="S42" s="15" t="s">
        <v>853</v>
      </c>
      <c r="T42" s="881" t="s">
        <v>853</v>
      </c>
      <c r="U42" s="881"/>
      <c r="V42" s="881"/>
      <c r="W42" s="881"/>
      <c r="X42" s="881"/>
      <c r="Y42" s="881"/>
      <c r="Z42" s="881"/>
      <c r="AA42" s="881"/>
      <c r="AB42" s="881"/>
      <c r="AC42" s="881"/>
      <c r="AD42" s="881"/>
      <c r="AE42" s="881"/>
      <c r="AF42" s="881"/>
      <c r="AG42" s="881"/>
      <c r="AH42" s="881"/>
      <c r="AI42" s="881"/>
      <c r="AJ42" s="881" t="s">
        <v>853</v>
      </c>
      <c r="AK42" s="881" t="s">
        <v>853</v>
      </c>
      <c r="AL42" s="882" t="s">
        <v>853</v>
      </c>
    </row>
    <row r="43" spans="1:38" ht="14.25">
      <c r="A43" s="4" t="s">
        <v>853</v>
      </c>
      <c r="S43" s="15" t="s">
        <v>853</v>
      </c>
      <c r="T43" s="881" t="s">
        <v>853</v>
      </c>
      <c r="U43" s="881" t="s">
        <v>853</v>
      </c>
      <c r="V43" s="881" t="s">
        <v>853</v>
      </c>
      <c r="W43" s="881" t="s">
        <v>853</v>
      </c>
      <c r="X43" s="881" t="s">
        <v>853</v>
      </c>
      <c r="Y43" s="881" t="s">
        <v>853</v>
      </c>
      <c r="Z43" s="881" t="s">
        <v>853</v>
      </c>
      <c r="AA43" s="881" t="s">
        <v>853</v>
      </c>
      <c r="AB43" s="881" t="s">
        <v>853</v>
      </c>
      <c r="AC43" s="881" t="s">
        <v>853</v>
      </c>
      <c r="AD43" s="881" t="s">
        <v>853</v>
      </c>
      <c r="AE43" s="881" t="s">
        <v>853</v>
      </c>
      <c r="AF43" s="881" t="s">
        <v>853</v>
      </c>
      <c r="AG43" s="881" t="s">
        <v>853</v>
      </c>
      <c r="AH43" s="881" t="s">
        <v>853</v>
      </c>
      <c r="AI43" s="881" t="s">
        <v>853</v>
      </c>
      <c r="AJ43" s="881" t="s">
        <v>853</v>
      </c>
      <c r="AK43" s="881" t="s">
        <v>853</v>
      </c>
      <c r="AL43" s="882" t="s">
        <v>853</v>
      </c>
    </row>
    <row r="44" spans="1:38" ht="14.25">
      <c r="A44" s="4" t="s">
        <v>853</v>
      </c>
      <c r="S44" s="15" t="s">
        <v>853</v>
      </c>
      <c r="T44" s="881" t="s">
        <v>853</v>
      </c>
      <c r="U44" s="881" t="s">
        <v>853</v>
      </c>
      <c r="V44" s="885"/>
      <c r="W44" s="881" t="s">
        <v>853</v>
      </c>
      <c r="X44" s="881" t="s">
        <v>853</v>
      </c>
      <c r="Y44" s="881" t="s">
        <v>853</v>
      </c>
      <c r="Z44" s="881" t="s">
        <v>853</v>
      </c>
      <c r="AA44" s="881" t="s">
        <v>853</v>
      </c>
      <c r="AB44" s="881" t="s">
        <v>853</v>
      </c>
      <c r="AC44" s="881" t="s">
        <v>853</v>
      </c>
      <c r="AD44" s="881" t="s">
        <v>853</v>
      </c>
      <c r="AE44" s="881" t="s">
        <v>853</v>
      </c>
      <c r="AF44" s="881" t="s">
        <v>853</v>
      </c>
      <c r="AG44" s="881" t="s">
        <v>853</v>
      </c>
      <c r="AH44" s="881" t="s">
        <v>853</v>
      </c>
      <c r="AI44" s="881" t="s">
        <v>853</v>
      </c>
      <c r="AJ44" s="881" t="s">
        <v>853</v>
      </c>
      <c r="AK44" s="881" t="s">
        <v>853</v>
      </c>
      <c r="AL44" s="882" t="s">
        <v>853</v>
      </c>
    </row>
    <row r="45" spans="1:38" ht="14.25">
      <c r="A45" s="4" t="s">
        <v>853</v>
      </c>
      <c r="S45" s="15" t="s">
        <v>853</v>
      </c>
      <c r="T45" s="881" t="s">
        <v>853</v>
      </c>
      <c r="U45" s="881" t="s">
        <v>853</v>
      </c>
      <c r="V45" s="881" t="s">
        <v>853</v>
      </c>
      <c r="W45" s="881" t="s">
        <v>853</v>
      </c>
      <c r="X45" s="881" t="s">
        <v>853</v>
      </c>
      <c r="Y45" s="881" t="s">
        <v>853</v>
      </c>
      <c r="Z45" s="881" t="s">
        <v>853</v>
      </c>
      <c r="AA45" s="881" t="s">
        <v>853</v>
      </c>
      <c r="AB45" s="881" t="s">
        <v>853</v>
      </c>
      <c r="AC45" s="881" t="s">
        <v>853</v>
      </c>
      <c r="AD45" s="881" t="s">
        <v>853</v>
      </c>
      <c r="AE45" s="881" t="s">
        <v>853</v>
      </c>
      <c r="AF45" s="881" t="s">
        <v>853</v>
      </c>
      <c r="AG45" s="881" t="s">
        <v>853</v>
      </c>
      <c r="AH45" s="881" t="s">
        <v>853</v>
      </c>
      <c r="AI45" s="881" t="s">
        <v>853</v>
      </c>
      <c r="AJ45" s="881" t="s">
        <v>853</v>
      </c>
      <c r="AK45" s="881" t="s">
        <v>853</v>
      </c>
      <c r="AL45" s="882" t="s">
        <v>853</v>
      </c>
    </row>
    <row r="46" spans="1:38" ht="14.25">
      <c r="A46" s="4" t="s">
        <v>853</v>
      </c>
      <c r="S46" s="15" t="s">
        <v>853</v>
      </c>
      <c r="T46" s="881" t="s">
        <v>853</v>
      </c>
      <c r="U46" s="881" t="s">
        <v>871</v>
      </c>
      <c r="V46" s="881"/>
      <c r="W46" s="881"/>
      <c r="X46" s="881"/>
      <c r="Y46" s="881"/>
      <c r="Z46" s="881"/>
      <c r="AA46" s="881"/>
      <c r="AB46" s="881"/>
      <c r="AC46" s="881"/>
      <c r="AD46" s="881"/>
      <c r="AE46" s="881"/>
      <c r="AF46" s="881"/>
      <c r="AG46" s="881"/>
      <c r="AH46" s="881"/>
      <c r="AI46" s="881"/>
      <c r="AJ46" s="881" t="s">
        <v>853</v>
      </c>
      <c r="AK46" s="881" t="s">
        <v>853</v>
      </c>
      <c r="AL46" s="882" t="s">
        <v>853</v>
      </c>
    </row>
    <row r="47" spans="1:38">
      <c r="A47" s="4" t="s">
        <v>853</v>
      </c>
      <c r="S47" s="15" t="s">
        <v>853</v>
      </c>
      <c r="T47" s="886"/>
      <c r="U47" s="350"/>
      <c r="V47" s="350"/>
      <c r="W47" s="350"/>
      <c r="X47" s="350"/>
      <c r="Y47" s="350"/>
      <c r="Z47" s="350"/>
      <c r="AA47" s="350"/>
      <c r="AB47" s="350"/>
      <c r="AC47" s="350"/>
      <c r="AD47" s="350"/>
      <c r="AE47" s="350"/>
      <c r="AF47" s="350"/>
      <c r="AG47" s="350"/>
      <c r="AH47" s="350"/>
      <c r="AI47" s="350"/>
      <c r="AJ47" s="350"/>
      <c r="AK47" s="350"/>
      <c r="AL47" s="887"/>
    </row>
    <row r="48" spans="1:38">
      <c r="A48" s="4" t="s">
        <v>853</v>
      </c>
      <c r="S48" s="15" t="s">
        <v>853</v>
      </c>
      <c r="T48" s="886"/>
      <c r="U48" s="350"/>
      <c r="V48" s="350"/>
      <c r="W48" s="350"/>
      <c r="X48" s="350"/>
      <c r="Y48" s="350"/>
      <c r="Z48" s="350"/>
      <c r="AA48" s="350"/>
      <c r="AB48" s="350"/>
      <c r="AC48" s="350"/>
      <c r="AD48" s="350"/>
      <c r="AE48" s="350"/>
      <c r="AF48" s="350"/>
      <c r="AG48" s="350"/>
      <c r="AH48" s="350"/>
      <c r="AI48" s="350"/>
      <c r="AJ48" s="350"/>
      <c r="AK48" s="350"/>
      <c r="AL48" s="887"/>
    </row>
    <row r="49" spans="1:38">
      <c r="A49" s="4" t="s">
        <v>853</v>
      </c>
      <c r="S49" s="15" t="s">
        <v>853</v>
      </c>
      <c r="T49" s="886"/>
      <c r="U49" s="350"/>
      <c r="V49" s="350"/>
      <c r="W49" s="350"/>
      <c r="X49" s="350"/>
      <c r="Y49" s="350"/>
      <c r="Z49" s="350"/>
      <c r="AA49" s="350"/>
      <c r="AB49" s="350"/>
      <c r="AC49" s="350"/>
      <c r="AD49" s="350"/>
      <c r="AE49" s="350"/>
      <c r="AF49" s="350"/>
      <c r="AG49" s="350"/>
      <c r="AH49" s="350"/>
      <c r="AI49" s="350"/>
      <c r="AJ49" s="350"/>
      <c r="AK49" s="350"/>
      <c r="AL49" s="887"/>
    </row>
    <row r="50" spans="1:38">
      <c r="A50" s="4" t="s">
        <v>853</v>
      </c>
      <c r="B50" s="639" t="s">
        <v>872</v>
      </c>
      <c r="C50" s="8"/>
      <c r="D50" s="8"/>
      <c r="E50" s="8"/>
      <c r="F50" s="8"/>
      <c r="G50" s="8"/>
      <c r="H50" s="8"/>
      <c r="I50" s="8"/>
      <c r="J50" s="8"/>
      <c r="K50" s="8"/>
      <c r="L50" s="8"/>
      <c r="M50" s="8"/>
      <c r="N50" s="8"/>
      <c r="O50" s="8"/>
      <c r="P50" s="8"/>
      <c r="Q50" s="8"/>
      <c r="R50" s="8"/>
      <c r="S50" s="8"/>
      <c r="T50" s="886"/>
      <c r="U50" s="350"/>
      <c r="V50" s="350"/>
      <c r="W50" s="350"/>
      <c r="X50" s="350"/>
      <c r="Y50" s="350"/>
      <c r="Z50" s="350"/>
      <c r="AA50" s="350"/>
      <c r="AB50" s="350"/>
      <c r="AC50" s="350"/>
      <c r="AD50" s="350"/>
      <c r="AE50" s="350"/>
      <c r="AF50" s="350"/>
      <c r="AG50" s="350"/>
      <c r="AH50" s="350"/>
      <c r="AI50" s="350"/>
      <c r="AJ50" s="350"/>
      <c r="AK50" s="350"/>
      <c r="AL50" s="887"/>
    </row>
    <row r="51" spans="1:38">
      <c r="A51" s="4" t="s">
        <v>853</v>
      </c>
      <c r="B51" s="8"/>
      <c r="C51" s="8"/>
      <c r="D51" s="8"/>
      <c r="E51" s="8"/>
      <c r="F51" s="8"/>
      <c r="G51" s="8"/>
      <c r="H51" s="8"/>
      <c r="I51" s="8"/>
      <c r="J51" s="8"/>
      <c r="K51" s="8"/>
      <c r="L51" s="8"/>
      <c r="M51" s="8"/>
      <c r="N51" s="8"/>
      <c r="O51" s="8"/>
      <c r="P51" s="8"/>
      <c r="Q51" s="8"/>
      <c r="S51" s="15" t="s">
        <v>853</v>
      </c>
      <c r="T51" s="886"/>
      <c r="U51" s="350"/>
      <c r="V51" s="350"/>
      <c r="W51" s="350"/>
      <c r="X51" s="350"/>
      <c r="Y51" s="350"/>
      <c r="Z51" s="350"/>
      <c r="AA51" s="350"/>
      <c r="AB51" s="350"/>
      <c r="AC51" s="350"/>
      <c r="AD51" s="350"/>
      <c r="AE51" s="350"/>
      <c r="AF51" s="350"/>
      <c r="AG51" s="350"/>
      <c r="AH51" s="350"/>
      <c r="AI51" s="350"/>
      <c r="AJ51" s="350"/>
      <c r="AK51" s="350"/>
      <c r="AL51" s="887"/>
    </row>
    <row r="52" spans="1:38">
      <c r="A52" s="4" t="s">
        <v>853</v>
      </c>
      <c r="B52" s="8" t="s">
        <v>873</v>
      </c>
      <c r="S52" s="15" t="s">
        <v>853</v>
      </c>
      <c r="T52" s="886"/>
      <c r="U52" s="350"/>
      <c r="V52" s="350"/>
      <c r="W52" s="350"/>
      <c r="X52" s="350"/>
      <c r="Y52" s="350"/>
      <c r="Z52" s="350"/>
      <c r="AA52" s="350"/>
      <c r="AB52" s="350"/>
      <c r="AC52" s="350"/>
      <c r="AD52" s="350"/>
      <c r="AE52" s="350"/>
      <c r="AF52" s="350"/>
      <c r="AG52" s="350"/>
      <c r="AH52" s="350"/>
      <c r="AI52" s="350"/>
      <c r="AJ52" s="350"/>
      <c r="AK52" s="350"/>
      <c r="AL52" s="887"/>
    </row>
    <row r="53" spans="1:38">
      <c r="A53" s="4" t="s">
        <v>853</v>
      </c>
      <c r="B53" s="8"/>
      <c r="C53" s="8"/>
      <c r="D53" s="8"/>
      <c r="E53" s="8"/>
      <c r="F53" s="8"/>
      <c r="G53" s="8"/>
      <c r="H53" s="8"/>
      <c r="I53" s="8"/>
      <c r="J53" s="8"/>
      <c r="K53" s="8"/>
      <c r="L53" s="8"/>
      <c r="M53" s="8"/>
      <c r="N53" s="8"/>
      <c r="O53" s="8"/>
      <c r="P53" s="8"/>
      <c r="Q53" s="8"/>
      <c r="R53" s="8"/>
      <c r="S53" s="15" t="s">
        <v>853</v>
      </c>
      <c r="T53" s="886"/>
      <c r="U53" s="350"/>
      <c r="V53" s="350"/>
      <c r="W53" s="350"/>
      <c r="X53" s="350"/>
      <c r="Y53" s="350"/>
      <c r="Z53" s="350"/>
      <c r="AA53" s="350"/>
      <c r="AB53" s="350"/>
      <c r="AC53" s="350"/>
      <c r="AD53" s="350"/>
      <c r="AE53" s="350"/>
      <c r="AF53" s="350"/>
      <c r="AG53" s="350"/>
      <c r="AH53" s="350"/>
      <c r="AI53" s="350"/>
      <c r="AJ53" s="350"/>
      <c r="AK53" s="350"/>
      <c r="AL53" s="887"/>
    </row>
    <row r="54" spans="1:38">
      <c r="A54" s="171"/>
      <c r="B54" s="231"/>
      <c r="C54" s="170"/>
      <c r="D54" s="170"/>
      <c r="E54" s="170"/>
      <c r="F54" s="170"/>
      <c r="G54" s="170"/>
      <c r="H54" s="170"/>
      <c r="I54" s="170"/>
      <c r="J54" s="170"/>
      <c r="K54" s="170"/>
      <c r="L54" s="170"/>
      <c r="M54" s="170"/>
      <c r="N54" s="170"/>
      <c r="O54" s="170"/>
      <c r="P54" s="170"/>
      <c r="Q54" s="170"/>
      <c r="R54" s="170"/>
      <c r="S54" s="172"/>
      <c r="T54" s="886"/>
      <c r="U54" s="350"/>
      <c r="V54" s="350"/>
      <c r="W54" s="350"/>
      <c r="X54" s="350"/>
      <c r="Y54" s="350"/>
      <c r="Z54" s="350"/>
      <c r="AA54" s="350"/>
      <c r="AB54" s="350"/>
      <c r="AC54" s="350"/>
      <c r="AD54" s="350"/>
      <c r="AE54" s="350"/>
      <c r="AF54" s="350"/>
      <c r="AG54" s="350"/>
      <c r="AH54" s="350"/>
      <c r="AI54" s="350"/>
      <c r="AJ54" s="350"/>
      <c r="AK54" s="350"/>
      <c r="AL54" s="887"/>
    </row>
    <row r="55" spans="1:38">
      <c r="A55" s="171"/>
      <c r="B55" s="648" t="s">
        <v>757</v>
      </c>
      <c r="C55" s="170"/>
      <c r="D55" s="170"/>
      <c r="E55" s="170"/>
      <c r="F55" s="170"/>
      <c r="G55" s="170"/>
      <c r="H55" s="170"/>
      <c r="I55" s="170"/>
      <c r="J55" s="170"/>
      <c r="K55" s="170"/>
      <c r="L55" s="170"/>
      <c r="M55" s="170"/>
      <c r="N55" s="170"/>
      <c r="O55" s="170"/>
      <c r="P55" s="170"/>
      <c r="Q55" s="170"/>
      <c r="R55" s="170"/>
      <c r="S55" s="172"/>
      <c r="T55" s="886"/>
      <c r="U55" s="888" t="s">
        <v>757</v>
      </c>
      <c r="V55" s="350"/>
      <c r="W55" s="350"/>
      <c r="X55" s="350"/>
      <c r="Y55" s="350"/>
      <c r="Z55" s="350"/>
      <c r="AA55" s="350"/>
      <c r="AB55" s="350"/>
      <c r="AC55" s="350"/>
      <c r="AD55" s="350"/>
      <c r="AE55" s="350"/>
      <c r="AF55" s="350"/>
      <c r="AG55" s="350"/>
      <c r="AH55" s="350"/>
      <c r="AI55" s="350"/>
      <c r="AJ55" s="350"/>
      <c r="AK55" s="350"/>
      <c r="AL55" s="887"/>
    </row>
    <row r="56" spans="1:38">
      <c r="A56" s="232"/>
      <c r="B56" s="173"/>
      <c r="C56" s="173"/>
      <c r="D56" s="173"/>
      <c r="E56" s="173"/>
      <c r="F56" s="173"/>
      <c r="G56" s="173"/>
      <c r="H56" s="173"/>
      <c r="I56" s="173"/>
      <c r="J56" s="173"/>
      <c r="K56" s="173"/>
      <c r="L56" s="173"/>
      <c r="M56" s="173"/>
      <c r="N56" s="173"/>
      <c r="O56" s="173"/>
      <c r="P56" s="173"/>
      <c r="Q56" s="173"/>
      <c r="R56" s="173"/>
      <c r="S56" s="174"/>
      <c r="T56" s="889"/>
      <c r="U56" s="890"/>
      <c r="V56" s="890"/>
      <c r="W56" s="890"/>
      <c r="X56" s="890"/>
      <c r="Y56" s="890"/>
      <c r="Z56" s="890"/>
      <c r="AA56" s="890"/>
      <c r="AB56" s="890"/>
      <c r="AC56" s="890"/>
      <c r="AD56" s="890"/>
      <c r="AE56" s="890"/>
      <c r="AF56" s="890"/>
      <c r="AG56" s="890"/>
      <c r="AH56" s="890"/>
      <c r="AI56" s="890"/>
      <c r="AJ56" s="890"/>
      <c r="AK56" s="890"/>
      <c r="AL56" s="891"/>
    </row>
  </sheetData>
  <sheetProtection algorithmName="SHA-512" hashValue="bnubKr2yJ20kHIUpoLW8uYp9IBtgJesJnKQ6zofR6pSIr7W+NlbD21pfvl9she+VK2k4+0PVRwcdX+IS8ZQLSQ==" saltValue="4UPQhFEe2bf7jYwN7iFaiA==" spinCount="100000" sheet="1" scenarios="1" insertHyperlinks="0"/>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zoomScaleNormal="100" zoomScaleSheetLayoutView="100" workbookViewId="0">
      <selection sqref="A1:S1"/>
    </sheetView>
  </sheetViews>
  <sheetFormatPr baseColWidth="10" defaultColWidth="11.46484375" defaultRowHeight="12.75"/>
  <cols>
    <col min="1" max="21" width="5" customWidth="1"/>
    <col min="22" max="22" width="6.46484375" customWidth="1"/>
    <col min="23" max="38" width="5" customWidth="1"/>
  </cols>
  <sheetData>
    <row r="1" spans="1:38" ht="13.15">
      <c r="A1" s="1544" t="s">
        <v>874</v>
      </c>
      <c r="B1" s="1544"/>
      <c r="C1" s="1544"/>
      <c r="D1" s="1544"/>
      <c r="E1" s="1544"/>
      <c r="F1" s="1544"/>
      <c r="G1" s="1544"/>
      <c r="H1" s="1544"/>
      <c r="I1" s="1544"/>
      <c r="J1" s="1544"/>
      <c r="K1" s="1544"/>
      <c r="L1" s="1544"/>
      <c r="M1" s="1544"/>
      <c r="N1" s="1544"/>
      <c r="O1" s="1544"/>
      <c r="P1" s="1544"/>
      <c r="Q1" s="1544"/>
      <c r="R1" s="1544"/>
      <c r="S1" s="1545"/>
      <c r="T1" s="2"/>
      <c r="U1" s="2"/>
      <c r="V1" s="2"/>
      <c r="W1" s="2"/>
      <c r="X1" s="2"/>
      <c r="Y1" s="2"/>
      <c r="Z1" s="2"/>
      <c r="AA1" s="2"/>
      <c r="AB1" s="2"/>
      <c r="AC1" s="2"/>
      <c r="AD1" s="2"/>
      <c r="AE1" s="2"/>
      <c r="AF1" s="2"/>
      <c r="AG1" s="2"/>
      <c r="AH1" s="2"/>
      <c r="AI1" s="2"/>
      <c r="AJ1" s="2"/>
      <c r="AK1" s="2"/>
      <c r="AL1" s="136"/>
    </row>
    <row r="2" spans="1:38">
      <c r="B2" s="8" t="s">
        <v>875</v>
      </c>
      <c r="C2" s="8"/>
      <c r="D2" s="8"/>
      <c r="E2" s="8"/>
      <c r="F2" s="8"/>
      <c r="G2" s="8"/>
      <c r="H2" s="8"/>
      <c r="I2" s="8"/>
      <c r="J2" s="8"/>
      <c r="K2" s="8"/>
      <c r="L2" s="8"/>
      <c r="M2" s="8"/>
      <c r="N2" s="8"/>
      <c r="O2" s="8"/>
      <c r="P2" s="8"/>
      <c r="Q2" s="8"/>
      <c r="R2" s="8"/>
      <c r="S2" s="85"/>
      <c r="T2" s="8"/>
      <c r="U2" t="s">
        <v>876</v>
      </c>
      <c r="AL2" s="15"/>
    </row>
    <row r="3" spans="1:38">
      <c r="B3" s="8"/>
      <c r="C3" s="8"/>
      <c r="D3" s="8"/>
      <c r="E3" s="8"/>
      <c r="F3" s="8"/>
      <c r="G3" s="8"/>
      <c r="H3" s="8"/>
      <c r="I3" s="8"/>
      <c r="J3" s="8"/>
      <c r="K3" s="8"/>
      <c r="L3" s="8"/>
      <c r="M3" s="8"/>
      <c r="N3" s="8"/>
      <c r="O3" s="8"/>
      <c r="P3" s="8"/>
      <c r="Q3" s="8"/>
      <c r="R3" s="8"/>
      <c r="S3" s="85"/>
      <c r="T3" s="8"/>
      <c r="AL3" s="15"/>
    </row>
    <row r="4" spans="1:38">
      <c r="B4" s="682" t="s">
        <v>877</v>
      </c>
      <c r="C4" s="682"/>
      <c r="D4" s="682"/>
      <c r="E4" s="682"/>
      <c r="F4" s="682"/>
      <c r="G4" s="682"/>
      <c r="H4" s="682"/>
      <c r="I4" s="682"/>
      <c r="J4" s="682"/>
      <c r="K4" s="682"/>
      <c r="L4" s="682"/>
      <c r="M4" s="682"/>
      <c r="N4" s="682"/>
      <c r="O4" s="682"/>
      <c r="P4" s="682"/>
      <c r="Q4" s="8"/>
      <c r="R4" s="8"/>
      <c r="S4" s="85"/>
      <c r="T4" s="235"/>
      <c r="U4" s="8" t="s">
        <v>878</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879</v>
      </c>
      <c r="V5" s="8"/>
      <c r="W5" s="8"/>
      <c r="X5" s="8"/>
      <c r="Y5" s="8"/>
      <c r="Z5" s="8"/>
      <c r="AA5" s="8"/>
      <c r="AB5" s="8"/>
      <c r="AC5" s="8"/>
      <c r="AD5" s="8"/>
      <c r="AE5" s="8"/>
      <c r="AF5" s="8"/>
      <c r="AG5" s="8"/>
      <c r="AH5" s="8"/>
      <c r="AI5" s="8"/>
      <c r="AJ5" s="8"/>
      <c r="AK5" s="8"/>
      <c r="AL5" s="15"/>
    </row>
    <row r="6" spans="1:38">
      <c r="B6" s="235" t="s">
        <v>880</v>
      </c>
      <c r="C6" s="8"/>
      <c r="D6" s="8"/>
      <c r="E6" s="8"/>
      <c r="F6" s="8"/>
      <c r="G6" s="8"/>
      <c r="H6" s="8"/>
      <c r="I6" s="8"/>
      <c r="J6" s="8"/>
      <c r="K6" s="8"/>
      <c r="L6" s="8"/>
      <c r="M6" s="8"/>
      <c r="N6" s="8"/>
      <c r="O6" s="8"/>
      <c r="P6" s="8"/>
      <c r="Q6" s="8"/>
      <c r="R6" s="8"/>
      <c r="S6" s="85"/>
      <c r="T6" s="8"/>
      <c r="AL6" s="15"/>
    </row>
    <row r="7" spans="1:38">
      <c r="B7" s="8" t="s">
        <v>881</v>
      </c>
      <c r="C7" s="8"/>
      <c r="D7" s="8"/>
      <c r="E7" s="8"/>
      <c r="F7" s="8"/>
      <c r="G7" s="8"/>
      <c r="H7" s="8"/>
      <c r="I7" s="8"/>
      <c r="J7" s="8"/>
      <c r="K7" s="8"/>
      <c r="L7" s="8"/>
      <c r="M7" s="8"/>
      <c r="N7" s="8"/>
      <c r="O7" s="8"/>
      <c r="P7" s="8"/>
      <c r="Q7" s="8"/>
      <c r="R7" s="8"/>
      <c r="S7" s="85"/>
      <c r="T7" s="235"/>
      <c r="AL7" s="15"/>
    </row>
    <row r="8" spans="1:38">
      <c r="B8" s="8"/>
      <c r="C8" s="8"/>
      <c r="D8" s="8"/>
      <c r="E8" s="8"/>
      <c r="F8" s="8"/>
      <c r="G8" s="8"/>
      <c r="H8" s="8"/>
      <c r="I8" s="8"/>
      <c r="J8" s="8"/>
      <c r="K8" s="8"/>
      <c r="L8" s="8"/>
      <c r="M8" s="8"/>
      <c r="N8" s="8"/>
      <c r="O8" s="8"/>
      <c r="P8" s="8"/>
      <c r="Q8" s="8"/>
      <c r="R8" s="8"/>
      <c r="S8" s="85"/>
      <c r="T8" s="8"/>
      <c r="AL8" s="15"/>
    </row>
    <row r="9" spans="1:38">
      <c r="B9" s="235" t="s">
        <v>882</v>
      </c>
      <c r="C9" s="8"/>
      <c r="D9" s="8"/>
      <c r="E9" s="8"/>
      <c r="F9" s="8"/>
      <c r="G9" s="8"/>
      <c r="H9" s="8"/>
      <c r="I9" s="8"/>
      <c r="J9" s="8"/>
      <c r="K9" s="8"/>
      <c r="L9" s="8"/>
      <c r="M9" s="8"/>
      <c r="N9" s="8"/>
      <c r="O9" s="8"/>
      <c r="P9" s="8"/>
      <c r="Q9" s="8"/>
      <c r="R9" s="8"/>
      <c r="S9" s="85"/>
      <c r="T9" s="235"/>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683" t="s">
        <v>883</v>
      </c>
      <c r="V24" s="683"/>
      <c r="W24" s="683"/>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5" t="s">
        <v>880</v>
      </c>
      <c r="V26" s="8"/>
      <c r="W26" s="8"/>
      <c r="X26" s="8"/>
      <c r="Y26" s="8"/>
      <c r="Z26" s="8"/>
      <c r="AA26" s="8"/>
      <c r="AB26" s="8"/>
      <c r="AC26" s="8"/>
      <c r="AD26" s="8"/>
      <c r="AE26" s="8"/>
      <c r="AF26" s="8"/>
      <c r="AG26" s="8"/>
      <c r="AH26" s="8"/>
      <c r="AI26" s="8"/>
      <c r="AL26" s="15"/>
    </row>
    <row r="27" spans="2:38">
      <c r="B27" s="683" t="s">
        <v>884</v>
      </c>
      <c r="C27" s="683"/>
      <c r="D27" s="683"/>
      <c r="E27" s="683"/>
      <c r="F27" s="683"/>
      <c r="G27" s="683"/>
      <c r="H27" s="683"/>
      <c r="I27" s="683"/>
      <c r="J27" s="683"/>
      <c r="K27" s="683"/>
      <c r="L27" s="683"/>
      <c r="M27" s="683"/>
      <c r="N27" s="683"/>
      <c r="O27" s="683"/>
      <c r="P27" s="683"/>
      <c r="Q27" s="683"/>
      <c r="R27" s="683"/>
      <c r="S27" s="85"/>
      <c r="T27" s="8"/>
      <c r="U27" s="8" t="s">
        <v>881</v>
      </c>
      <c r="V27" s="8"/>
      <c r="W27" s="8"/>
      <c r="X27" s="8"/>
      <c r="Y27" s="8"/>
      <c r="Z27" s="8"/>
      <c r="AA27" s="8"/>
      <c r="AB27" s="8"/>
      <c r="AC27" s="8"/>
      <c r="AD27" s="8"/>
      <c r="AE27" s="8"/>
      <c r="AF27" s="8"/>
      <c r="AG27" s="8"/>
      <c r="AH27" s="8"/>
      <c r="AI27" s="8"/>
      <c r="AL27" s="15"/>
    </row>
    <row r="28" spans="2:38">
      <c r="B28" s="683" t="s">
        <v>885</v>
      </c>
      <c r="C28" s="683"/>
      <c r="D28" s="683"/>
      <c r="E28" s="683"/>
      <c r="F28" s="683"/>
      <c r="G28" s="683"/>
      <c r="H28" s="683"/>
      <c r="I28" s="683"/>
      <c r="J28" s="683"/>
      <c r="K28" s="683"/>
      <c r="L28" s="683"/>
      <c r="M28" s="683"/>
      <c r="N28" s="683"/>
      <c r="O28" s="683"/>
      <c r="P28" s="683"/>
      <c r="Q28" s="683"/>
      <c r="R28" s="683"/>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5" t="s">
        <v>882</v>
      </c>
      <c r="V29" s="8"/>
      <c r="W29" s="8"/>
      <c r="X29" s="8"/>
      <c r="Y29" s="8"/>
      <c r="Z29" s="8"/>
      <c r="AA29" s="8"/>
      <c r="AB29" s="8"/>
      <c r="AC29" s="8"/>
      <c r="AD29" s="8"/>
      <c r="AE29" s="8"/>
      <c r="AF29" s="8"/>
      <c r="AG29" s="8"/>
      <c r="AH29" s="8"/>
      <c r="AI29" s="8"/>
      <c r="AL29" s="15"/>
    </row>
    <row r="30" spans="2:38">
      <c r="B30" s="235" t="s">
        <v>886</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5" t="s">
        <v>887</v>
      </c>
      <c r="V31" s="8"/>
      <c r="W31" s="8"/>
      <c r="X31" s="8"/>
      <c r="Y31" s="8"/>
      <c r="Z31" s="8"/>
      <c r="AA31" s="8"/>
      <c r="AB31" s="8"/>
      <c r="AC31" s="8"/>
      <c r="AD31" s="8"/>
      <c r="AE31" s="8"/>
      <c r="AF31" s="8"/>
      <c r="AG31" s="8"/>
      <c r="AH31" s="8"/>
      <c r="AI31" s="8"/>
      <c r="AL31" s="15"/>
    </row>
    <row r="32" spans="2:38">
      <c r="B32" s="235" t="s">
        <v>888</v>
      </c>
      <c r="C32" s="8"/>
      <c r="D32" s="8"/>
      <c r="E32" s="8"/>
      <c r="F32" s="8"/>
      <c r="G32" s="8"/>
      <c r="H32" s="8"/>
      <c r="I32" s="8"/>
      <c r="J32" s="8"/>
      <c r="K32" s="8"/>
      <c r="L32" s="8"/>
      <c r="M32" s="8"/>
      <c r="N32" s="8"/>
      <c r="O32" s="8"/>
      <c r="P32" s="8"/>
      <c r="Q32" s="8"/>
      <c r="R32" s="8"/>
      <c r="S32" s="85"/>
      <c r="T32" s="8"/>
      <c r="U32" s="8" t="s">
        <v>889</v>
      </c>
      <c r="V32" s="8"/>
      <c r="W32" s="8"/>
      <c r="X32" s="8"/>
      <c r="Y32" s="8"/>
      <c r="Z32" s="8"/>
      <c r="AA32" s="8"/>
      <c r="AB32" s="8"/>
      <c r="AC32" s="8"/>
      <c r="AD32" s="8"/>
      <c r="AE32" s="8"/>
      <c r="AF32" s="8"/>
      <c r="AG32" s="8"/>
      <c r="AH32" s="8"/>
      <c r="AI32" s="8"/>
      <c r="AL32" s="15"/>
    </row>
    <row r="33" spans="2:38">
      <c r="B33" s="235" t="s">
        <v>890</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891</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892</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893</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1"/>
      <c r="T51" s="9"/>
      <c r="U51" s="8"/>
      <c r="V51" s="8"/>
      <c r="W51" s="8"/>
      <c r="X51" s="8"/>
      <c r="Y51" s="8"/>
      <c r="Z51" s="8"/>
      <c r="AA51" s="8"/>
      <c r="AB51" s="8"/>
      <c r="AC51" s="8"/>
      <c r="AD51" s="8"/>
      <c r="AE51" s="8"/>
      <c r="AF51" s="8"/>
      <c r="AG51" s="8"/>
      <c r="AH51" s="8"/>
      <c r="AI51" s="8"/>
      <c r="AL51" s="15"/>
    </row>
    <row r="52" spans="1:38">
      <c r="B52" s="8" t="s">
        <v>894</v>
      </c>
      <c r="C52" s="8"/>
      <c r="D52" s="8"/>
      <c r="E52" s="8"/>
      <c r="F52" s="8"/>
      <c r="G52" s="8"/>
      <c r="H52" s="8"/>
      <c r="I52" s="8"/>
      <c r="J52" s="8"/>
      <c r="K52" s="8"/>
      <c r="L52" s="8"/>
      <c r="M52" s="8"/>
      <c r="N52" s="8"/>
      <c r="O52" s="8"/>
      <c r="P52" s="8"/>
      <c r="Q52" s="8"/>
      <c r="R52" s="8"/>
      <c r="S52" s="241"/>
      <c r="T52" s="4"/>
      <c r="U52" s="8" t="s">
        <v>895</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1"/>
      <c r="T53" s="4"/>
      <c r="U53" s="8" t="s">
        <v>896</v>
      </c>
      <c r="V53" s="8"/>
      <c r="W53" s="8"/>
      <c r="X53" s="8"/>
      <c r="Y53" s="8"/>
      <c r="Z53" s="8"/>
      <c r="AA53" s="8"/>
      <c r="AB53" s="8"/>
      <c r="AC53" s="8"/>
      <c r="AD53" s="8"/>
      <c r="AE53" s="8"/>
      <c r="AF53" s="8"/>
      <c r="AG53" s="8"/>
      <c r="AH53" s="8"/>
      <c r="AI53" s="8"/>
      <c r="AL53" s="15"/>
    </row>
    <row r="54" spans="1:38">
      <c r="A54" s="171"/>
      <c r="S54" s="172"/>
      <c r="T54" s="4"/>
      <c r="U54" s="8" t="s">
        <v>897</v>
      </c>
      <c r="V54" s="8"/>
      <c r="W54" s="8"/>
      <c r="X54" s="8"/>
      <c r="Y54" s="8"/>
      <c r="Z54" s="8"/>
      <c r="AA54" s="8"/>
      <c r="AB54" s="8"/>
      <c r="AC54" s="8"/>
      <c r="AD54" s="8"/>
      <c r="AE54" s="8"/>
      <c r="AF54" s="8"/>
      <c r="AG54" s="8"/>
      <c r="AH54" s="8"/>
      <c r="AI54" s="8"/>
      <c r="AL54" s="15"/>
    </row>
    <row r="55" spans="1:38">
      <c r="A55" s="171"/>
      <c r="S55" s="172"/>
      <c r="T55" s="4"/>
      <c r="U55" s="8"/>
      <c r="V55" s="8"/>
      <c r="W55" s="8"/>
      <c r="X55" s="8"/>
      <c r="Y55" s="8"/>
      <c r="Z55" s="8"/>
      <c r="AA55" s="8"/>
      <c r="AB55" s="8"/>
      <c r="AC55" s="8"/>
      <c r="AD55" s="8"/>
      <c r="AE55" s="8"/>
      <c r="AF55" s="8"/>
      <c r="AG55" s="8"/>
      <c r="AH55" s="8"/>
      <c r="AI55" s="8"/>
      <c r="AL55" s="15"/>
    </row>
    <row r="56" spans="1:38">
      <c r="A56" s="171"/>
      <c r="B56" s="231"/>
      <c r="C56" s="170"/>
      <c r="D56" s="170"/>
      <c r="E56" s="170"/>
      <c r="F56" s="170"/>
      <c r="G56" s="170"/>
      <c r="H56" s="170"/>
      <c r="I56" s="170"/>
      <c r="J56" s="170"/>
      <c r="K56" s="170"/>
      <c r="L56" s="170"/>
      <c r="M56" s="170"/>
      <c r="N56" s="170"/>
      <c r="O56" s="170"/>
      <c r="P56" s="170"/>
      <c r="Q56" s="170"/>
      <c r="R56" s="170"/>
      <c r="S56" s="172"/>
      <c r="T56" s="4"/>
      <c r="U56" s="8"/>
      <c r="W56" s="8"/>
      <c r="X56" s="8"/>
      <c r="Y56" s="8"/>
      <c r="Z56" s="8"/>
      <c r="AA56" s="8"/>
      <c r="AB56" s="8"/>
      <c r="AC56" s="8"/>
      <c r="AD56" s="8"/>
      <c r="AE56" s="8"/>
      <c r="AF56" s="8"/>
      <c r="AG56" s="8"/>
      <c r="AH56" s="8"/>
      <c r="AI56" s="8"/>
      <c r="AJ56" s="145" t="s">
        <v>757</v>
      </c>
      <c r="AL56" s="15"/>
    </row>
    <row r="57" spans="1:38">
      <c r="A57" s="232"/>
      <c r="B57" s="173"/>
      <c r="C57" s="173"/>
      <c r="D57" s="173"/>
      <c r="E57" s="173"/>
      <c r="F57" s="173"/>
      <c r="G57" s="173"/>
      <c r="H57" s="173"/>
      <c r="I57" s="173"/>
      <c r="J57" s="173"/>
      <c r="K57" s="173"/>
      <c r="L57" s="173"/>
      <c r="M57" s="173"/>
      <c r="N57" s="173"/>
      <c r="O57" s="173"/>
      <c r="P57" s="173"/>
      <c r="Q57" s="173"/>
      <c r="R57" s="173"/>
      <c r="S57" s="17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nppkew5DY7KyGU7SvN8O5Ic3lkp4Leok4nbiUIZNUppdauFbJk+sbOwK8jC0PplOpoOlckuOGtlNQdwrrD5CRQ==" saltValue="uiVPjVDsUzJvx8WncSnLrw==" spinCount="100000" sheet="1" scenarios="1" insertHyperlinks="0"/>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3D1E-A24B-4BB8-AE99-8DA937E8428A}">
  <sheetPr codeName="Tabelle7">
    <pageSetUpPr fitToPage="1"/>
  </sheetPr>
  <dimension ref="A1:U56"/>
  <sheetViews>
    <sheetView showGridLines="0" view="pageBreakPreview" zoomScaleNormal="100" zoomScaleSheetLayoutView="100" workbookViewId="0">
      <selection sqref="A1:S1"/>
    </sheetView>
  </sheetViews>
  <sheetFormatPr baseColWidth="10" defaultColWidth="11.46484375" defaultRowHeight="12.75" customHeight="1"/>
  <cols>
    <col min="1" max="27" width="5" style="123" customWidth="1"/>
    <col min="28" max="28" width="6.1328125" style="123" customWidth="1"/>
    <col min="29" max="38" width="5" style="123" customWidth="1"/>
    <col min="39" max="16384" width="11.46484375" style="123"/>
  </cols>
  <sheetData>
    <row r="1" spans="1:21" ht="12.75" customHeight="1">
      <c r="A1" s="1546" t="s">
        <v>898</v>
      </c>
      <c r="B1" s="1546"/>
      <c r="C1" s="1546"/>
      <c r="D1" s="1546"/>
      <c r="E1" s="1546"/>
      <c r="F1" s="1546"/>
      <c r="G1" s="1546"/>
      <c r="H1" s="1546"/>
      <c r="I1" s="1546"/>
      <c r="J1" s="1546"/>
      <c r="K1" s="1546"/>
      <c r="L1" s="1546"/>
      <c r="M1" s="1546"/>
      <c r="N1" s="1546"/>
      <c r="O1" s="1546"/>
      <c r="P1" s="1546"/>
      <c r="Q1" s="1546"/>
      <c r="R1" s="1546"/>
      <c r="S1" s="1546"/>
    </row>
    <row r="2" spans="1:21" ht="12.75" customHeight="1">
      <c r="A2" s="851"/>
      <c r="B2" s="852"/>
      <c r="C2" s="852"/>
      <c r="D2" s="852"/>
      <c r="E2" s="852"/>
      <c r="F2" s="852"/>
      <c r="G2" s="852"/>
      <c r="H2" s="852"/>
      <c r="I2" s="852"/>
      <c r="J2" s="852"/>
      <c r="K2" s="852"/>
      <c r="L2" s="852"/>
      <c r="M2" s="852"/>
      <c r="N2" s="852"/>
      <c r="O2" s="852"/>
      <c r="P2" s="852"/>
      <c r="Q2" s="852"/>
      <c r="R2" s="852"/>
      <c r="S2" s="853"/>
      <c r="U2" s="194"/>
    </row>
    <row r="3" spans="1:21" ht="12.75" customHeight="1">
      <c r="A3" s="854"/>
      <c r="B3" s="855" t="s">
        <v>899</v>
      </c>
      <c r="C3" s="856"/>
      <c r="D3" s="856"/>
      <c r="E3" s="856"/>
      <c r="F3" s="856"/>
      <c r="G3" s="856"/>
      <c r="H3" s="856"/>
      <c r="I3" s="856"/>
      <c r="J3" s="856"/>
      <c r="K3" s="856"/>
      <c r="L3" s="856"/>
      <c r="M3" s="856"/>
      <c r="N3" s="856"/>
      <c r="O3" s="856"/>
      <c r="P3" s="856"/>
      <c r="Q3" s="856"/>
      <c r="R3" s="856"/>
      <c r="S3" s="857"/>
    </row>
    <row r="4" spans="1:21" ht="12.75" customHeight="1">
      <c r="A4" s="856"/>
      <c r="B4" s="858" t="s">
        <v>900</v>
      </c>
      <c r="C4" s="856"/>
      <c r="D4" s="856"/>
      <c r="E4" s="856"/>
      <c r="F4" s="856"/>
      <c r="G4" s="856"/>
      <c r="H4" s="856"/>
      <c r="I4" s="856"/>
      <c r="J4" s="856"/>
      <c r="K4" s="856"/>
      <c r="L4" s="856"/>
      <c r="M4" s="856"/>
      <c r="N4" s="856"/>
      <c r="O4" s="856"/>
      <c r="P4" s="856"/>
      <c r="Q4" s="856"/>
      <c r="R4" s="856"/>
      <c r="S4" s="857"/>
      <c r="U4" s="194"/>
    </row>
    <row r="5" spans="1:21" ht="12.75" customHeight="1">
      <c r="A5" s="854"/>
      <c r="C5" s="856"/>
      <c r="D5" s="856"/>
      <c r="E5" s="856"/>
      <c r="F5" s="856"/>
      <c r="G5" s="856"/>
      <c r="H5" s="856"/>
      <c r="I5" s="856"/>
      <c r="J5" s="856"/>
      <c r="K5" s="856"/>
      <c r="L5" s="856"/>
      <c r="M5" s="856"/>
      <c r="N5" s="856"/>
      <c r="O5" s="856"/>
      <c r="P5" s="856"/>
      <c r="Q5" s="856"/>
      <c r="R5" s="856"/>
      <c r="S5" s="857"/>
    </row>
    <row r="6" spans="1:21" ht="12.75" customHeight="1">
      <c r="A6" s="854"/>
      <c r="B6" s="859" t="s">
        <v>901</v>
      </c>
      <c r="C6" s="856"/>
      <c r="D6" s="856"/>
      <c r="E6" s="856"/>
      <c r="F6" s="856"/>
      <c r="G6" s="856"/>
      <c r="H6" s="856"/>
      <c r="I6" s="856"/>
      <c r="J6" s="856"/>
      <c r="K6" s="856"/>
      <c r="L6" s="856"/>
      <c r="M6" s="856"/>
      <c r="N6" s="856"/>
      <c r="O6" s="856"/>
      <c r="P6" s="856"/>
      <c r="Q6" s="856"/>
      <c r="R6" s="856"/>
      <c r="S6" s="857"/>
    </row>
    <row r="7" spans="1:21" ht="12.75" customHeight="1">
      <c r="A7" s="860"/>
      <c r="C7" s="856"/>
      <c r="D7" s="856"/>
      <c r="E7" s="856"/>
      <c r="F7" s="856"/>
      <c r="G7" s="856"/>
      <c r="H7" s="856"/>
      <c r="I7" s="856"/>
      <c r="J7" s="856"/>
      <c r="K7" s="856"/>
      <c r="L7" s="856"/>
      <c r="M7" s="856"/>
      <c r="N7" s="856"/>
      <c r="O7" s="856"/>
      <c r="P7" s="856"/>
      <c r="Q7" s="856"/>
      <c r="R7" s="856"/>
      <c r="S7" s="857"/>
    </row>
    <row r="8" spans="1:21" ht="12.75" customHeight="1">
      <c r="A8" s="854"/>
      <c r="B8" s="858" t="s">
        <v>902</v>
      </c>
      <c r="C8" s="856"/>
      <c r="D8" s="856"/>
      <c r="E8" s="856"/>
      <c r="F8" s="856"/>
      <c r="G8" s="856"/>
      <c r="H8" s="856"/>
      <c r="I8" s="856"/>
      <c r="J8" s="856"/>
      <c r="K8" s="856"/>
      <c r="L8" s="856"/>
      <c r="M8" s="856"/>
      <c r="N8" s="856"/>
      <c r="O8" s="856"/>
      <c r="P8" s="856"/>
      <c r="Q8" s="856"/>
      <c r="R8" s="856"/>
      <c r="S8" s="857"/>
    </row>
    <row r="9" spans="1:21" ht="12.75" customHeight="1">
      <c r="A9" s="854"/>
      <c r="B9" s="861" t="s">
        <v>903</v>
      </c>
      <c r="C9" s="856"/>
      <c r="D9" s="856"/>
      <c r="E9" s="856"/>
      <c r="F9" s="856"/>
      <c r="G9" s="856"/>
      <c r="H9" s="856"/>
      <c r="I9" s="856"/>
      <c r="J9" s="856"/>
      <c r="K9" s="856"/>
      <c r="L9" s="856"/>
      <c r="M9" s="856"/>
      <c r="N9" s="856"/>
      <c r="O9" s="856"/>
      <c r="P9" s="856"/>
      <c r="Q9" s="856"/>
      <c r="R9" s="856"/>
      <c r="S9" s="857"/>
    </row>
    <row r="10" spans="1:21" ht="12.75" customHeight="1">
      <c r="A10" s="854"/>
      <c r="B10" s="862" t="s">
        <v>904</v>
      </c>
      <c r="C10" s="856"/>
      <c r="D10" s="856"/>
      <c r="E10" s="856"/>
      <c r="F10" s="856"/>
      <c r="G10" s="856"/>
      <c r="H10" s="856"/>
      <c r="I10" s="856"/>
      <c r="J10" s="856"/>
      <c r="K10" s="856"/>
      <c r="L10" s="856"/>
      <c r="M10" s="856"/>
      <c r="N10" s="856"/>
      <c r="O10" s="856"/>
      <c r="P10" s="856"/>
      <c r="Q10" s="856"/>
      <c r="R10" s="856"/>
      <c r="S10" s="857"/>
    </row>
    <row r="11" spans="1:21" ht="12.75" customHeight="1">
      <c r="A11" s="854"/>
      <c r="B11" s="856" t="s">
        <v>905</v>
      </c>
      <c r="C11" s="856"/>
      <c r="D11" s="856"/>
      <c r="E11" s="856"/>
      <c r="F11" s="856"/>
      <c r="G11" s="856"/>
      <c r="H11" s="856"/>
      <c r="I11" s="856"/>
      <c r="J11" s="856"/>
      <c r="K11" s="856"/>
      <c r="L11" s="856"/>
      <c r="M11" s="856"/>
      <c r="N11" s="856"/>
      <c r="O11" s="856"/>
      <c r="P11" s="856"/>
      <c r="Q11" s="856"/>
      <c r="R11" s="856"/>
      <c r="S11" s="857"/>
    </row>
    <row r="12" spans="1:21" ht="12.75" customHeight="1">
      <c r="A12" s="854"/>
      <c r="B12" s="862" t="s">
        <v>906</v>
      </c>
      <c r="C12" s="856"/>
      <c r="D12" s="856"/>
      <c r="E12" s="856"/>
      <c r="F12" s="856"/>
      <c r="G12" s="856"/>
      <c r="H12" s="856"/>
      <c r="I12" s="856"/>
      <c r="J12" s="856"/>
      <c r="K12" s="856"/>
      <c r="L12" s="856"/>
      <c r="M12" s="856"/>
      <c r="N12" s="856"/>
      <c r="O12" s="856"/>
      <c r="P12" s="856"/>
      <c r="Q12" s="856"/>
      <c r="R12" s="856"/>
      <c r="S12" s="857"/>
    </row>
    <row r="13" spans="1:21" ht="12.75" customHeight="1">
      <c r="A13" s="854"/>
      <c r="B13" s="863" t="s">
        <v>907</v>
      </c>
      <c r="C13" s="856"/>
      <c r="D13" s="856"/>
      <c r="E13" s="856"/>
      <c r="F13" s="856"/>
      <c r="G13" s="856"/>
      <c r="H13" s="856"/>
      <c r="I13" s="856"/>
      <c r="J13" s="856"/>
      <c r="K13" s="856"/>
      <c r="L13" s="856"/>
      <c r="M13" s="856"/>
      <c r="N13" s="856"/>
      <c r="O13" s="856"/>
      <c r="P13" s="856"/>
      <c r="Q13" s="856"/>
      <c r="R13" s="856"/>
      <c r="S13" s="857"/>
    </row>
    <row r="14" spans="1:21" ht="12.75" customHeight="1">
      <c r="A14" s="854"/>
      <c r="B14" s="862" t="s">
        <v>908</v>
      </c>
      <c r="C14" s="856"/>
      <c r="D14" s="856"/>
      <c r="E14" s="856"/>
      <c r="F14" s="856"/>
      <c r="G14" s="856"/>
      <c r="H14" s="856"/>
      <c r="I14" s="856"/>
      <c r="J14" s="856"/>
      <c r="K14" s="856"/>
      <c r="L14" s="856"/>
      <c r="M14" s="856"/>
      <c r="N14" s="856"/>
      <c r="O14" s="856"/>
      <c r="P14" s="856"/>
      <c r="Q14" s="856"/>
      <c r="R14" s="856"/>
      <c r="S14" s="857"/>
    </row>
    <row r="15" spans="1:21" ht="12.75" customHeight="1">
      <c r="A15" s="854"/>
      <c r="B15" s="862" t="s">
        <v>909</v>
      </c>
      <c r="C15" s="856"/>
      <c r="D15" s="856"/>
      <c r="E15" s="856"/>
      <c r="F15" s="856"/>
      <c r="G15" s="856"/>
      <c r="H15" s="856"/>
      <c r="I15" s="856"/>
      <c r="J15" s="856"/>
      <c r="K15" s="856"/>
      <c r="L15" s="856"/>
      <c r="M15" s="856"/>
      <c r="N15" s="856"/>
      <c r="O15" s="856"/>
      <c r="P15" s="856"/>
      <c r="Q15" s="856"/>
      <c r="R15" s="856"/>
      <c r="S15" s="857"/>
    </row>
    <row r="16" spans="1:21" ht="12.75" customHeight="1">
      <c r="A16" s="854"/>
      <c r="B16" s="863" t="s">
        <v>910</v>
      </c>
      <c r="C16" s="856"/>
      <c r="D16" s="856"/>
      <c r="E16" s="856"/>
      <c r="F16" s="856"/>
      <c r="G16" s="856"/>
      <c r="H16" s="856"/>
      <c r="I16" s="856"/>
      <c r="J16" s="856"/>
      <c r="K16" s="856"/>
      <c r="L16" s="856"/>
      <c r="M16" s="856"/>
      <c r="N16" s="856"/>
      <c r="O16" s="856"/>
      <c r="P16" s="856"/>
      <c r="Q16" s="856"/>
      <c r="R16" s="856"/>
      <c r="S16" s="857"/>
    </row>
    <row r="17" spans="1:19" ht="12.75" customHeight="1">
      <c r="A17" s="854"/>
      <c r="B17" s="863" t="s">
        <v>911</v>
      </c>
      <c r="C17" s="856"/>
      <c r="D17" s="856"/>
      <c r="E17" s="856"/>
      <c r="F17" s="856"/>
      <c r="G17" s="856"/>
      <c r="H17" s="856"/>
      <c r="I17" s="856"/>
      <c r="J17" s="856"/>
      <c r="K17" s="856"/>
      <c r="L17" s="856"/>
      <c r="M17" s="856"/>
      <c r="N17" s="856"/>
      <c r="O17" s="856"/>
      <c r="P17" s="856"/>
      <c r="Q17" s="856"/>
      <c r="R17" s="856"/>
      <c r="S17" s="857"/>
    </row>
    <row r="18" spans="1:19" ht="12.75" customHeight="1">
      <c r="A18" s="854"/>
      <c r="B18" s="856"/>
      <c r="C18" s="856"/>
      <c r="D18" s="856"/>
      <c r="E18" s="856"/>
      <c r="F18" s="856"/>
      <c r="G18" s="856"/>
      <c r="H18" s="856"/>
      <c r="I18" s="856"/>
      <c r="J18" s="856"/>
      <c r="K18" s="856"/>
      <c r="L18" s="856"/>
      <c r="M18" s="856"/>
      <c r="N18" s="856"/>
      <c r="O18" s="856"/>
      <c r="P18" s="856"/>
      <c r="Q18" s="856"/>
      <c r="R18" s="856"/>
      <c r="S18" s="857"/>
    </row>
    <row r="19" spans="1:19" ht="12.75" customHeight="1">
      <c r="A19" s="854"/>
      <c r="B19" s="856"/>
      <c r="C19" s="856"/>
      <c r="D19" s="856"/>
      <c r="E19" s="856"/>
      <c r="F19" s="856"/>
      <c r="G19" s="856"/>
      <c r="H19" s="856"/>
      <c r="I19" s="856"/>
      <c r="J19" s="856"/>
      <c r="K19" s="856"/>
      <c r="L19" s="856"/>
      <c r="M19" s="856"/>
      <c r="N19" s="856"/>
      <c r="O19" s="856"/>
      <c r="P19" s="856"/>
      <c r="Q19" s="856"/>
      <c r="R19" s="856"/>
      <c r="S19" s="857"/>
    </row>
    <row r="20" spans="1:19" ht="12.75" customHeight="1">
      <c r="A20" s="854"/>
      <c r="B20" s="856"/>
      <c r="C20" s="856"/>
      <c r="D20" s="856"/>
      <c r="E20" s="856"/>
      <c r="F20" s="856"/>
      <c r="G20" s="856"/>
      <c r="H20" s="856"/>
      <c r="I20" s="856"/>
      <c r="J20" s="856"/>
      <c r="K20" s="856"/>
      <c r="L20" s="856"/>
      <c r="M20" s="856"/>
      <c r="N20" s="856"/>
      <c r="O20" s="856"/>
      <c r="P20" s="856"/>
      <c r="Q20" s="856"/>
      <c r="R20" s="856"/>
      <c r="S20" s="857"/>
    </row>
    <row r="21" spans="1:19" ht="12.75" customHeight="1">
      <c r="A21" s="854"/>
      <c r="B21" s="864"/>
      <c r="C21" s="856"/>
      <c r="D21" s="856"/>
      <c r="E21" s="856"/>
      <c r="F21" s="856"/>
      <c r="G21" s="856"/>
      <c r="H21" s="856"/>
      <c r="I21" s="856"/>
      <c r="J21" s="856"/>
      <c r="K21" s="856"/>
      <c r="L21" s="856"/>
      <c r="M21" s="856"/>
      <c r="N21" s="856"/>
      <c r="O21" s="856"/>
      <c r="P21" s="856"/>
      <c r="Q21" s="856"/>
      <c r="R21" s="856"/>
      <c r="S21" s="857"/>
    </row>
    <row r="22" spans="1:19" ht="12.75" customHeight="1">
      <c r="A22" s="854"/>
      <c r="B22" s="862"/>
      <c r="C22" s="856"/>
      <c r="D22" s="856"/>
      <c r="E22" s="856"/>
      <c r="F22" s="856"/>
      <c r="G22" s="856"/>
      <c r="H22" s="856"/>
      <c r="I22" s="856"/>
      <c r="J22" s="856"/>
      <c r="K22" s="856"/>
      <c r="L22" s="856"/>
      <c r="M22" s="856"/>
      <c r="N22" s="856"/>
      <c r="O22" s="856"/>
      <c r="P22" s="856"/>
      <c r="Q22" s="856"/>
      <c r="R22" s="856"/>
      <c r="S22" s="857"/>
    </row>
    <row r="23" spans="1:19" ht="12.75" customHeight="1">
      <c r="A23" s="864"/>
      <c r="B23" s="864"/>
      <c r="C23" s="856"/>
      <c r="D23" s="856"/>
      <c r="E23" s="856"/>
      <c r="F23" s="856"/>
      <c r="G23" s="856"/>
      <c r="H23" s="856"/>
      <c r="I23" s="856"/>
      <c r="J23" s="856"/>
      <c r="K23" s="856"/>
      <c r="L23" s="856"/>
      <c r="M23" s="856"/>
      <c r="N23" s="856"/>
      <c r="O23" s="856"/>
      <c r="P23" s="856"/>
      <c r="Q23" s="856"/>
      <c r="R23" s="856"/>
      <c r="S23" s="857"/>
    </row>
    <row r="24" spans="1:19" ht="12.75" customHeight="1">
      <c r="A24" s="864"/>
      <c r="B24" s="864"/>
      <c r="C24" s="856"/>
      <c r="D24" s="856"/>
      <c r="E24" s="856"/>
      <c r="F24" s="856"/>
      <c r="G24" s="856"/>
      <c r="H24" s="856"/>
      <c r="I24" s="856"/>
      <c r="J24" s="856"/>
      <c r="K24" s="856"/>
      <c r="L24" s="856"/>
      <c r="M24" s="856"/>
      <c r="N24" s="856"/>
      <c r="O24" s="856"/>
      <c r="P24" s="856"/>
      <c r="Q24" s="856"/>
      <c r="R24" s="856"/>
      <c r="S24" s="857"/>
    </row>
    <row r="25" spans="1:19" ht="12.75" customHeight="1">
      <c r="A25" s="864"/>
      <c r="B25" s="864"/>
      <c r="C25" s="864"/>
      <c r="D25" s="864"/>
      <c r="E25" s="864"/>
      <c r="F25" s="864"/>
      <c r="G25" s="864"/>
      <c r="H25" s="864"/>
      <c r="I25" s="864"/>
      <c r="J25" s="864"/>
      <c r="K25" s="864"/>
      <c r="L25" s="864"/>
      <c r="M25" s="864"/>
      <c r="N25" s="864"/>
      <c r="O25" s="864"/>
      <c r="P25" s="864"/>
      <c r="Q25" s="864"/>
      <c r="R25" s="864"/>
      <c r="S25" s="865"/>
    </row>
    <row r="26" spans="1:19" ht="12.75" customHeight="1">
      <c r="A26" s="864"/>
      <c r="B26" s="864"/>
      <c r="C26" s="864"/>
      <c r="D26" s="864"/>
      <c r="E26" s="864"/>
      <c r="F26" s="864"/>
      <c r="G26" s="864"/>
      <c r="H26" s="864"/>
      <c r="I26" s="864"/>
      <c r="J26" s="864"/>
      <c r="K26" s="864"/>
      <c r="L26" s="864"/>
      <c r="M26" s="864"/>
      <c r="N26" s="864"/>
      <c r="O26" s="864"/>
      <c r="P26" s="864"/>
      <c r="Q26" s="864"/>
      <c r="R26" s="864"/>
      <c r="S26" s="865"/>
    </row>
    <row r="27" spans="1:19" ht="12.75" customHeight="1">
      <c r="A27" s="864"/>
      <c r="B27" s="864"/>
      <c r="C27" s="864"/>
      <c r="D27" s="864"/>
      <c r="E27" s="864"/>
      <c r="F27" s="864"/>
      <c r="G27" s="864"/>
      <c r="H27" s="864"/>
      <c r="I27" s="864"/>
      <c r="J27" s="864"/>
      <c r="K27" s="864"/>
      <c r="L27" s="864"/>
      <c r="M27" s="864"/>
      <c r="N27" s="864"/>
      <c r="O27" s="864"/>
      <c r="P27" s="864"/>
      <c r="Q27" s="864"/>
      <c r="R27" s="864"/>
      <c r="S27" s="865"/>
    </row>
    <row r="28" spans="1:19" ht="12.75" customHeight="1">
      <c r="A28" s="864"/>
      <c r="B28" s="864"/>
      <c r="C28" s="864"/>
      <c r="D28" s="864"/>
      <c r="E28" s="864"/>
      <c r="F28" s="864"/>
      <c r="G28" s="864"/>
      <c r="H28" s="864"/>
      <c r="I28" s="864"/>
      <c r="J28" s="864"/>
      <c r="K28" s="864"/>
      <c r="L28" s="864"/>
      <c r="M28" s="864"/>
      <c r="N28" s="864"/>
      <c r="O28" s="864"/>
      <c r="P28" s="864"/>
      <c r="Q28" s="864"/>
      <c r="R28" s="864"/>
      <c r="S28" s="865"/>
    </row>
    <row r="29" spans="1:19" ht="12.75" customHeight="1">
      <c r="A29" s="864"/>
      <c r="B29" s="864"/>
      <c r="C29" s="864"/>
      <c r="D29" s="864"/>
      <c r="E29" s="864"/>
      <c r="F29" s="864"/>
      <c r="G29" s="864"/>
      <c r="H29" s="864"/>
      <c r="I29" s="864"/>
      <c r="J29" s="864"/>
      <c r="K29" s="864"/>
      <c r="L29" s="864"/>
      <c r="M29" s="864"/>
      <c r="N29" s="864"/>
      <c r="O29" s="864"/>
      <c r="P29" s="864"/>
      <c r="Q29" s="864"/>
      <c r="R29" s="864"/>
      <c r="S29" s="865"/>
    </row>
    <row r="30" spans="1:19" ht="12.75" customHeight="1">
      <c r="A30" s="864"/>
      <c r="B30" s="864"/>
      <c r="C30" s="864"/>
      <c r="D30" s="864"/>
      <c r="E30" s="864"/>
      <c r="F30" s="864"/>
      <c r="G30" s="864"/>
      <c r="H30" s="864"/>
      <c r="I30" s="864"/>
      <c r="J30" s="864"/>
      <c r="K30" s="864"/>
      <c r="L30" s="864"/>
      <c r="M30" s="864"/>
      <c r="N30" s="864"/>
      <c r="O30" s="864"/>
      <c r="P30" s="864"/>
      <c r="Q30" s="864"/>
      <c r="R30" s="864"/>
      <c r="S30" s="865"/>
    </row>
    <row r="31" spans="1:19" ht="12.75" customHeight="1">
      <c r="A31" s="854"/>
      <c r="B31" s="866"/>
      <c r="C31" s="866"/>
      <c r="D31" s="866"/>
      <c r="E31" s="866"/>
      <c r="F31" s="866"/>
      <c r="G31" s="866"/>
      <c r="H31" s="866"/>
      <c r="I31" s="866"/>
      <c r="J31" s="866"/>
      <c r="K31" s="866"/>
      <c r="L31" s="866"/>
      <c r="M31" s="866"/>
      <c r="N31" s="866"/>
      <c r="O31" s="866"/>
      <c r="P31" s="856"/>
      <c r="Q31" s="856"/>
      <c r="R31" s="856"/>
      <c r="S31" s="857"/>
    </row>
    <row r="32" spans="1:19" ht="12.75" customHeight="1">
      <c r="A32" s="854"/>
      <c r="B32" s="856"/>
      <c r="C32" s="856"/>
      <c r="D32" s="856"/>
      <c r="E32" s="856"/>
      <c r="F32" s="856"/>
      <c r="G32" s="856"/>
      <c r="H32" s="856"/>
      <c r="I32" s="856"/>
      <c r="J32" s="856"/>
      <c r="K32" s="856"/>
      <c r="L32" s="856"/>
      <c r="M32" s="856"/>
      <c r="N32" s="856"/>
      <c r="O32" s="856"/>
      <c r="P32" s="856"/>
      <c r="Q32" s="856"/>
      <c r="R32" s="856"/>
      <c r="S32" s="857"/>
    </row>
    <row r="33" spans="1:19" ht="12.75" customHeight="1">
      <c r="A33" s="854"/>
      <c r="B33" s="862"/>
      <c r="C33" s="856"/>
      <c r="D33" s="856"/>
      <c r="E33" s="856"/>
      <c r="F33" s="856"/>
      <c r="G33" s="856"/>
      <c r="H33" s="856"/>
      <c r="I33" s="856"/>
      <c r="J33" s="856"/>
      <c r="K33" s="856"/>
      <c r="L33" s="856"/>
      <c r="M33" s="856"/>
      <c r="N33" s="856"/>
      <c r="O33" s="856"/>
      <c r="P33" s="856"/>
      <c r="Q33" s="856"/>
      <c r="R33" s="856"/>
      <c r="S33" s="857"/>
    </row>
    <row r="34" spans="1:19" ht="12.75" customHeight="1">
      <c r="A34" s="854"/>
      <c r="B34" s="867"/>
      <c r="C34" s="856"/>
      <c r="D34" s="856"/>
      <c r="E34" s="856"/>
      <c r="F34" s="856"/>
      <c r="G34" s="856"/>
      <c r="H34" s="856"/>
      <c r="I34" s="856"/>
      <c r="J34" s="856"/>
      <c r="K34" s="856"/>
      <c r="L34" s="856"/>
      <c r="M34" s="856"/>
      <c r="N34" s="856"/>
      <c r="O34" s="856"/>
      <c r="P34" s="856"/>
      <c r="Q34" s="856"/>
      <c r="R34" s="856"/>
      <c r="S34" s="857"/>
    </row>
    <row r="35" spans="1:19" ht="12.75" customHeight="1">
      <c r="A35" s="864"/>
      <c r="B35" s="864"/>
      <c r="C35" s="856"/>
      <c r="D35" s="856"/>
      <c r="E35" s="856"/>
      <c r="F35" s="856"/>
      <c r="G35" s="856"/>
      <c r="H35" s="856"/>
      <c r="I35" s="856"/>
      <c r="J35" s="856"/>
      <c r="K35" s="856"/>
      <c r="L35" s="856"/>
      <c r="M35" s="856"/>
      <c r="N35" s="856"/>
      <c r="O35" s="856"/>
      <c r="P35" s="856"/>
      <c r="Q35" s="856"/>
      <c r="R35" s="856"/>
      <c r="S35" s="857"/>
    </row>
    <row r="36" spans="1:19" ht="12.75" customHeight="1">
      <c r="A36" s="854"/>
      <c r="B36" s="868"/>
      <c r="C36" s="869"/>
      <c r="D36" s="869"/>
      <c r="E36" s="856"/>
      <c r="F36" s="856"/>
      <c r="G36" s="856"/>
      <c r="H36" s="856"/>
      <c r="I36" s="856"/>
      <c r="J36" s="856"/>
      <c r="K36" s="856"/>
      <c r="L36" s="856"/>
      <c r="M36" s="856"/>
      <c r="N36" s="856"/>
      <c r="O36" s="856"/>
      <c r="P36" s="856"/>
      <c r="Q36" s="856"/>
      <c r="R36" s="856"/>
      <c r="S36" s="857"/>
    </row>
    <row r="37" spans="1:19" ht="12.75" customHeight="1">
      <c r="A37" s="854"/>
      <c r="B37" s="868"/>
      <c r="C37" s="870"/>
      <c r="D37" s="870"/>
      <c r="E37" s="870"/>
      <c r="F37" s="870"/>
      <c r="G37" s="870"/>
      <c r="H37" s="856"/>
      <c r="I37" s="856"/>
      <c r="J37" s="856"/>
      <c r="K37" s="856"/>
      <c r="L37" s="856"/>
      <c r="M37" s="856"/>
      <c r="N37" s="856"/>
      <c r="O37" s="856"/>
      <c r="P37" s="856"/>
      <c r="Q37" s="856"/>
      <c r="R37" s="856"/>
      <c r="S37" s="857"/>
    </row>
    <row r="38" spans="1:19" ht="12.75" customHeight="1">
      <c r="A38" s="854"/>
      <c r="B38" s="856"/>
      <c r="C38" s="856"/>
      <c r="D38" s="856"/>
      <c r="E38" s="856"/>
      <c r="F38" s="856"/>
      <c r="G38" s="856"/>
      <c r="H38" s="856"/>
      <c r="I38" s="856"/>
      <c r="J38" s="856"/>
      <c r="K38" s="856"/>
      <c r="L38" s="856"/>
      <c r="M38" s="856"/>
      <c r="N38" s="856"/>
      <c r="O38" s="856"/>
      <c r="P38" s="856"/>
      <c r="Q38" s="856"/>
      <c r="R38" s="856"/>
      <c r="S38" s="857"/>
    </row>
    <row r="39" spans="1:19" ht="12.75" customHeight="1">
      <c r="A39" s="871"/>
      <c r="B39" s="1547"/>
      <c r="C39" s="1548"/>
      <c r="D39" s="1548"/>
      <c r="E39" s="1548"/>
      <c r="F39" s="1548"/>
      <c r="G39" s="1548"/>
      <c r="H39" s="1548"/>
      <c r="I39" s="1548"/>
      <c r="J39" s="1548"/>
      <c r="K39" s="1548"/>
      <c r="L39" s="1548"/>
      <c r="M39" s="1548"/>
      <c r="N39" s="1548"/>
      <c r="O39" s="1548"/>
      <c r="P39" s="1548"/>
      <c r="Q39" s="1548"/>
      <c r="R39" s="1548"/>
      <c r="S39" s="872"/>
    </row>
    <row r="40" spans="1:19" ht="12.75" customHeight="1">
      <c r="A40" s="854"/>
      <c r="B40" s="856"/>
      <c r="C40" s="856"/>
      <c r="D40" s="856"/>
      <c r="E40" s="856"/>
      <c r="F40" s="856"/>
      <c r="G40" s="856"/>
      <c r="H40" s="856"/>
      <c r="I40" s="856"/>
      <c r="J40" s="856"/>
      <c r="K40" s="856"/>
      <c r="L40" s="856"/>
      <c r="M40" s="856"/>
      <c r="N40" s="856"/>
      <c r="O40" s="856"/>
      <c r="P40" s="856"/>
      <c r="Q40" s="856"/>
      <c r="R40" s="856"/>
      <c r="S40" s="857"/>
    </row>
    <row r="41" spans="1:19" ht="12.75" customHeight="1">
      <c r="A41" s="854"/>
      <c r="B41" s="856"/>
      <c r="C41" s="856"/>
      <c r="D41" s="856"/>
      <c r="E41" s="856"/>
      <c r="F41" s="856"/>
      <c r="G41" s="856"/>
      <c r="H41" s="856"/>
      <c r="I41" s="856"/>
      <c r="J41" s="856"/>
      <c r="K41" s="856"/>
      <c r="L41" s="856"/>
      <c r="M41" s="856"/>
      <c r="N41" s="856"/>
      <c r="O41" s="856"/>
      <c r="P41" s="856"/>
      <c r="Q41" s="856"/>
      <c r="R41" s="856"/>
      <c r="S41" s="857"/>
    </row>
    <row r="42" spans="1:19" ht="12.75" customHeight="1">
      <c r="A42" s="854"/>
      <c r="B42" s="856"/>
      <c r="C42" s="856"/>
      <c r="D42" s="856"/>
      <c r="E42" s="856"/>
      <c r="F42" s="856"/>
      <c r="G42" s="856"/>
      <c r="H42" s="856"/>
      <c r="I42" s="856"/>
      <c r="J42" s="856"/>
      <c r="K42" s="856"/>
      <c r="L42" s="856"/>
      <c r="M42" s="856"/>
      <c r="N42" s="856"/>
      <c r="O42" s="856"/>
      <c r="P42" s="856"/>
      <c r="Q42" s="856"/>
      <c r="R42" s="856"/>
      <c r="S42" s="857"/>
    </row>
    <row r="43" spans="1:19" ht="12.75" customHeight="1">
      <c r="A43" s="854"/>
      <c r="B43" s="856"/>
      <c r="C43" s="856"/>
      <c r="D43" s="856"/>
      <c r="E43" s="856"/>
      <c r="F43" s="856"/>
      <c r="G43" s="856"/>
      <c r="H43" s="856"/>
      <c r="I43" s="856"/>
      <c r="J43" s="856"/>
      <c r="K43" s="856"/>
      <c r="L43" s="856"/>
      <c r="M43" s="856"/>
      <c r="N43" s="856"/>
      <c r="O43" s="856"/>
      <c r="P43" s="856"/>
      <c r="Q43" s="856"/>
      <c r="R43" s="856"/>
      <c r="S43" s="857"/>
    </row>
    <row r="44" spans="1:19" ht="12.75" customHeight="1">
      <c r="A44" s="854"/>
      <c r="B44" s="856"/>
      <c r="C44" s="856"/>
      <c r="D44" s="856"/>
      <c r="E44" s="856"/>
      <c r="F44" s="856"/>
      <c r="G44" s="856"/>
      <c r="H44" s="856"/>
      <c r="I44" s="856"/>
      <c r="J44" s="856"/>
      <c r="K44" s="856"/>
      <c r="L44" s="856"/>
      <c r="M44" s="856"/>
      <c r="N44" s="856"/>
      <c r="O44" s="856"/>
      <c r="P44" s="856"/>
      <c r="Q44" s="856"/>
      <c r="R44" s="856"/>
      <c r="S44" s="857"/>
    </row>
    <row r="45" spans="1:19" ht="12.75" customHeight="1">
      <c r="A45" s="854"/>
      <c r="B45" s="856"/>
      <c r="C45" s="856"/>
      <c r="D45" s="856"/>
      <c r="E45" s="856"/>
      <c r="F45" s="856"/>
      <c r="G45" s="856"/>
      <c r="H45" s="856"/>
      <c r="I45" s="856"/>
      <c r="J45" s="856"/>
      <c r="K45" s="856"/>
      <c r="L45" s="856"/>
      <c r="M45" s="856"/>
      <c r="N45" s="856"/>
      <c r="O45" s="856"/>
      <c r="P45" s="856"/>
      <c r="Q45" s="856"/>
      <c r="R45" s="856"/>
      <c r="S45" s="857"/>
    </row>
    <row r="46" spans="1:19" ht="12.75" customHeight="1">
      <c r="A46" s="854"/>
      <c r="B46" s="856"/>
      <c r="C46" s="856"/>
      <c r="D46" s="856"/>
      <c r="E46" s="856"/>
      <c r="F46" s="856"/>
      <c r="G46" s="856"/>
      <c r="H46" s="856"/>
      <c r="I46" s="856"/>
      <c r="J46" s="856"/>
      <c r="K46" s="856"/>
      <c r="L46" s="856"/>
      <c r="M46" s="856"/>
      <c r="N46" s="856"/>
      <c r="O46" s="856"/>
      <c r="P46" s="856"/>
      <c r="Q46" s="856"/>
      <c r="R46" s="856"/>
      <c r="S46" s="857"/>
    </row>
    <row r="47" spans="1:19" ht="12.75" customHeight="1">
      <c r="A47" s="854"/>
      <c r="B47" s="856"/>
      <c r="C47" s="856"/>
      <c r="D47" s="856"/>
      <c r="E47" s="856"/>
      <c r="F47" s="856"/>
      <c r="G47" s="856"/>
      <c r="H47" s="856"/>
      <c r="I47" s="856"/>
      <c r="J47" s="856"/>
      <c r="K47" s="856"/>
      <c r="L47" s="856"/>
      <c r="M47" s="856"/>
      <c r="N47" s="856"/>
      <c r="O47" s="856"/>
      <c r="P47" s="856"/>
      <c r="Q47" s="856"/>
      <c r="R47" s="856"/>
      <c r="S47" s="857"/>
    </row>
    <row r="48" spans="1:19" ht="12.75" customHeight="1">
      <c r="A48" s="854"/>
      <c r="B48" s="856"/>
      <c r="C48" s="856"/>
      <c r="D48" s="856"/>
      <c r="E48" s="856"/>
      <c r="F48" s="856"/>
      <c r="G48" s="856"/>
      <c r="H48" s="856"/>
      <c r="I48" s="856"/>
      <c r="J48" s="856"/>
      <c r="K48" s="856"/>
      <c r="L48" s="856"/>
      <c r="M48" s="856"/>
      <c r="N48" s="856"/>
      <c r="O48" s="856"/>
      <c r="P48" s="856"/>
      <c r="Q48" s="856"/>
      <c r="R48" s="856"/>
      <c r="S48" s="857"/>
    </row>
    <row r="49" spans="1:19" ht="12.75" customHeight="1">
      <c r="A49" s="854"/>
      <c r="B49" s="856"/>
      <c r="C49" s="856"/>
      <c r="D49" s="856"/>
      <c r="E49" s="856"/>
      <c r="F49" s="856"/>
      <c r="G49" s="856"/>
      <c r="H49" s="856"/>
      <c r="I49" s="856"/>
      <c r="J49" s="856"/>
      <c r="K49" s="856"/>
      <c r="L49" s="856"/>
      <c r="M49" s="856"/>
      <c r="N49" s="856"/>
      <c r="O49" s="856"/>
      <c r="P49" s="856"/>
      <c r="Q49" s="856"/>
      <c r="R49" s="856"/>
      <c r="S49" s="857"/>
    </row>
    <row r="50" spans="1:19" ht="12.75" customHeight="1">
      <c r="A50" s="854"/>
      <c r="B50" s="856"/>
      <c r="C50" s="856"/>
      <c r="D50" s="856"/>
      <c r="E50" s="856"/>
      <c r="F50" s="856"/>
      <c r="G50" s="856"/>
      <c r="H50" s="856"/>
      <c r="I50" s="856"/>
      <c r="J50" s="856"/>
      <c r="K50" s="856"/>
      <c r="L50" s="856"/>
      <c r="M50" s="856"/>
      <c r="N50" s="856"/>
      <c r="O50" s="856"/>
      <c r="P50" s="856"/>
      <c r="Q50" s="856"/>
      <c r="R50" s="856"/>
      <c r="S50" s="857"/>
    </row>
    <row r="51" spans="1:19" ht="12.75" customHeight="1">
      <c r="A51" s="854"/>
      <c r="B51" s="856"/>
      <c r="C51" s="856"/>
      <c r="D51" s="856"/>
      <c r="E51" s="856"/>
      <c r="F51" s="856"/>
      <c r="G51" s="856"/>
      <c r="H51" s="856"/>
      <c r="I51" s="856"/>
      <c r="J51" s="856"/>
      <c r="K51" s="856"/>
      <c r="L51" s="856"/>
      <c r="M51" s="856"/>
      <c r="N51" s="856"/>
      <c r="O51" s="856"/>
      <c r="P51" s="856"/>
      <c r="Q51" s="856"/>
      <c r="R51" s="856"/>
      <c r="S51" s="857"/>
    </row>
    <row r="52" spans="1:19" ht="12.75" customHeight="1">
      <c r="A52" s="856"/>
      <c r="B52" s="856"/>
      <c r="C52" s="856"/>
      <c r="D52" s="856"/>
      <c r="E52" s="856"/>
      <c r="F52" s="856"/>
      <c r="G52" s="856"/>
      <c r="H52" s="856"/>
      <c r="I52" s="856"/>
      <c r="J52" s="856"/>
      <c r="K52" s="856"/>
      <c r="L52" s="856"/>
      <c r="M52" s="856"/>
      <c r="N52" s="856"/>
      <c r="O52" s="856"/>
      <c r="P52" s="856"/>
      <c r="Q52" s="856"/>
      <c r="R52" s="856"/>
      <c r="S52" s="857"/>
    </row>
    <row r="53" spans="1:19" ht="12.75" customHeight="1">
      <c r="A53" s="856"/>
      <c r="B53" s="856"/>
      <c r="C53" s="856"/>
      <c r="D53" s="856"/>
      <c r="E53" s="856"/>
      <c r="F53" s="856"/>
      <c r="G53" s="856"/>
      <c r="H53" s="856"/>
      <c r="I53" s="856"/>
      <c r="J53" s="856"/>
      <c r="K53" s="856"/>
      <c r="L53" s="856"/>
      <c r="M53" s="856"/>
      <c r="N53" s="856"/>
      <c r="O53" s="856"/>
      <c r="P53" s="856"/>
      <c r="Q53" s="856"/>
      <c r="R53" s="856"/>
      <c r="S53" s="857"/>
    </row>
    <row r="54" spans="1:19" ht="12.75" customHeight="1">
      <c r="A54" s="873"/>
      <c r="B54" s="873"/>
      <c r="C54" s="873"/>
      <c r="D54" s="873"/>
      <c r="E54" s="873"/>
      <c r="F54" s="873"/>
      <c r="G54" s="873"/>
      <c r="H54" s="873"/>
      <c r="I54" s="873"/>
      <c r="J54" s="873"/>
      <c r="K54" s="873"/>
      <c r="L54" s="873"/>
      <c r="M54" s="873"/>
      <c r="N54" s="873"/>
      <c r="O54" s="873"/>
      <c r="P54" s="873"/>
      <c r="Q54" s="873"/>
      <c r="R54" s="990" t="s">
        <v>757</v>
      </c>
      <c r="S54" s="874"/>
    </row>
    <row r="55" spans="1:19" ht="12.75" customHeight="1">
      <c r="A55" s="875"/>
      <c r="B55" s="873"/>
      <c r="C55" s="873"/>
      <c r="D55" s="873"/>
      <c r="E55" s="873"/>
      <c r="F55" s="873"/>
      <c r="G55" s="873"/>
      <c r="H55" s="873"/>
      <c r="I55" s="873"/>
      <c r="J55" s="873"/>
      <c r="K55" s="873"/>
      <c r="L55" s="873"/>
      <c r="M55" s="873"/>
      <c r="N55" s="873"/>
      <c r="O55" s="873"/>
      <c r="P55" s="873"/>
      <c r="Q55" s="873"/>
      <c r="R55" s="873"/>
      <c r="S55" s="874"/>
    </row>
    <row r="56" spans="1:19" ht="12.75" customHeight="1">
      <c r="A56" s="876"/>
      <c r="B56" s="877"/>
      <c r="C56" s="877"/>
      <c r="D56" s="877"/>
      <c r="E56" s="877"/>
      <c r="F56" s="877"/>
      <c r="G56" s="877"/>
      <c r="H56" s="877"/>
      <c r="I56" s="877"/>
      <c r="J56" s="877"/>
      <c r="K56" s="877"/>
      <c r="L56" s="877"/>
      <c r="M56" s="877"/>
      <c r="N56" s="877"/>
      <c r="O56" s="877"/>
      <c r="P56" s="877"/>
      <c r="Q56" s="877"/>
      <c r="R56" s="877"/>
      <c r="S56" s="878"/>
    </row>
  </sheetData>
  <sheetProtection algorithmName="SHA-512" hashValue="5hqsvdOzuiOXw6Jbm0zkrFbz6cLW6G6ddPa/AYmmTzRmLeRTS0CMyN/JhzNvTA1qd+yX5Gdp8rCCNRpLoHv2Vw==" saltValue="jYrQF0FjBbmMfPIVnzeE9A==" spinCount="100000" sheet="1" scenarios="1" insertHyperlinks="0"/>
  <mergeCells count="2">
    <mergeCell ref="A1:S1"/>
    <mergeCell ref="B39:R39"/>
  </mergeCells>
  <hyperlinks>
    <hyperlink ref="R54" location="'EV5 Acc. Stack Construction'!A1" display="BACK" xr:uid="{F3BD214B-A6C8-4705-8843-EF8D7BA6E498}"/>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3E97-43A9-4A75-90E5-80B3BB34189D}">
  <sheetPr codeName="Tabelle8">
    <pageSetUpPr fitToPage="1"/>
  </sheetPr>
  <dimension ref="A1:U56"/>
  <sheetViews>
    <sheetView showGridLines="0" view="pageBreakPreview" zoomScaleNormal="100" zoomScaleSheetLayoutView="100" workbookViewId="0">
      <selection activeCell="S50" sqref="S50:S56"/>
    </sheetView>
  </sheetViews>
  <sheetFormatPr baseColWidth="10" defaultColWidth="11.46484375" defaultRowHeight="12.75" customHeight="1"/>
  <cols>
    <col min="1" max="27" width="5" style="123" customWidth="1"/>
    <col min="28" max="28" width="6.1328125" style="123" customWidth="1"/>
    <col min="29" max="38" width="5" style="123" customWidth="1"/>
    <col min="39" max="16384" width="11.46484375" style="123"/>
  </cols>
  <sheetData>
    <row r="1" spans="1:21" ht="12.75" customHeight="1">
      <c r="A1" s="1546" t="s">
        <v>912</v>
      </c>
      <c r="B1" s="1546"/>
      <c r="C1" s="1546"/>
      <c r="D1" s="1546"/>
      <c r="E1" s="1546"/>
      <c r="F1" s="1546"/>
      <c r="G1" s="1546"/>
      <c r="H1" s="1546"/>
      <c r="I1" s="1546"/>
      <c r="J1" s="1546"/>
      <c r="K1" s="1546"/>
      <c r="L1" s="1546"/>
      <c r="M1" s="1546"/>
      <c r="N1" s="1546"/>
      <c r="O1" s="1546"/>
      <c r="P1" s="1546"/>
      <c r="Q1" s="1546"/>
      <c r="R1" s="1546"/>
      <c r="S1" s="1546"/>
    </row>
    <row r="2" spans="1:21" ht="12.75" customHeight="1">
      <c r="A2" s="909"/>
      <c r="B2" s="910"/>
      <c r="C2" s="910"/>
      <c r="D2" s="910"/>
      <c r="E2" s="910"/>
      <c r="F2" s="910"/>
      <c r="G2" s="910"/>
      <c r="H2" s="910"/>
      <c r="I2" s="910"/>
      <c r="J2" s="910"/>
      <c r="K2" s="910"/>
      <c r="L2" s="910"/>
      <c r="M2" s="910"/>
      <c r="N2" s="910"/>
      <c r="O2" s="910"/>
      <c r="P2" s="910"/>
      <c r="Q2" s="910"/>
      <c r="R2" s="910"/>
      <c r="S2" s="911"/>
      <c r="U2" s="194"/>
    </row>
    <row r="3" spans="1:21" ht="12.75" customHeight="1">
      <c r="A3" s="912"/>
      <c r="B3" s="425" t="s">
        <v>913</v>
      </c>
      <c r="C3" s="425"/>
      <c r="D3" s="425"/>
      <c r="E3" s="425"/>
      <c r="F3" s="425"/>
      <c r="G3" s="425"/>
      <c r="H3" s="425"/>
      <c r="I3" s="425"/>
      <c r="J3" s="425"/>
      <c r="K3" s="425"/>
      <c r="L3" s="425"/>
      <c r="M3" s="425"/>
      <c r="N3" s="425"/>
      <c r="O3" s="425"/>
      <c r="P3" s="425"/>
      <c r="Q3" s="425"/>
      <c r="R3" s="425"/>
      <c r="S3" s="913"/>
    </row>
    <row r="4" spans="1:21" ht="12.75" customHeight="1">
      <c r="A4" s="425"/>
      <c r="B4" s="425" t="s">
        <v>914</v>
      </c>
      <c r="C4" s="425"/>
      <c r="D4" s="425"/>
      <c r="E4" s="425"/>
      <c r="F4" s="425"/>
      <c r="G4" s="425"/>
      <c r="H4" s="425"/>
      <c r="I4" s="425"/>
      <c r="J4" s="425"/>
      <c r="K4" s="425"/>
      <c r="L4" s="425"/>
      <c r="M4" s="425"/>
      <c r="N4" s="425"/>
      <c r="O4" s="425"/>
      <c r="P4" s="425"/>
      <c r="Q4" s="425"/>
      <c r="R4" s="425"/>
      <c r="S4" s="913"/>
      <c r="U4" s="194"/>
    </row>
    <row r="5" spans="1:21" ht="12.75" customHeight="1">
      <c r="A5" s="912"/>
      <c r="B5" s="425" t="s">
        <v>915</v>
      </c>
      <c r="C5" s="425"/>
      <c r="D5" s="425"/>
      <c r="E5" s="425"/>
      <c r="F5" s="425"/>
      <c r="G5" s="425"/>
      <c r="H5" s="425"/>
      <c r="I5" s="425"/>
      <c r="J5" s="425"/>
      <c r="K5" s="425"/>
      <c r="L5" s="425"/>
      <c r="M5" s="425"/>
      <c r="N5" s="425"/>
      <c r="O5" s="425"/>
      <c r="P5" s="425"/>
      <c r="Q5" s="425"/>
      <c r="R5" s="425"/>
      <c r="S5" s="913"/>
    </row>
    <row r="6" spans="1:21" ht="12.75" customHeight="1">
      <c r="A6" s="912"/>
      <c r="B6" s="425" t="s">
        <v>916</v>
      </c>
      <c r="C6" s="425"/>
      <c r="D6" s="425"/>
      <c r="E6" s="425"/>
      <c r="F6" s="425"/>
      <c r="G6" s="425"/>
      <c r="H6" s="425"/>
      <c r="I6" s="425"/>
      <c r="J6" s="425"/>
      <c r="K6" s="425"/>
      <c r="L6" s="425"/>
      <c r="M6" s="425"/>
      <c r="N6" s="425"/>
      <c r="O6" s="425"/>
      <c r="P6" s="425"/>
      <c r="Q6" s="425"/>
      <c r="R6" s="425"/>
      <c r="S6" s="913"/>
    </row>
    <row r="7" spans="1:21" ht="12.75" customHeight="1">
      <c r="A7" s="912"/>
      <c r="B7" s="425" t="s">
        <v>917</v>
      </c>
      <c r="C7" s="425"/>
      <c r="D7" s="425"/>
      <c r="E7" s="425"/>
      <c r="F7" s="425"/>
      <c r="G7" s="425"/>
      <c r="H7" s="425"/>
      <c r="I7" s="425"/>
      <c r="J7" s="425"/>
      <c r="K7" s="425"/>
      <c r="L7" s="425"/>
      <c r="M7" s="425"/>
      <c r="N7" s="425"/>
      <c r="O7" s="425"/>
      <c r="P7" s="425"/>
      <c r="Q7" s="425"/>
      <c r="R7" s="425"/>
      <c r="S7" s="913"/>
    </row>
    <row r="8" spans="1:21" ht="12.75" customHeight="1">
      <c r="A8" s="912"/>
      <c r="B8" s="425" t="s">
        <v>918</v>
      </c>
      <c r="C8" s="425"/>
      <c r="D8" s="425"/>
      <c r="E8" s="425"/>
      <c r="F8" s="425"/>
      <c r="G8" s="425"/>
      <c r="H8" s="425"/>
      <c r="I8" s="425"/>
      <c r="J8" s="425"/>
      <c r="K8" s="425"/>
      <c r="L8" s="425"/>
      <c r="M8" s="425"/>
      <c r="N8" s="425"/>
      <c r="O8" s="425"/>
      <c r="P8" s="425"/>
      <c r="Q8" s="425"/>
      <c r="R8" s="425"/>
      <c r="S8" s="913"/>
    </row>
    <row r="9" spans="1:21" ht="12.75" customHeight="1">
      <c r="A9" s="912"/>
      <c r="B9" s="425"/>
      <c r="C9" s="425"/>
      <c r="D9" s="425"/>
      <c r="E9" s="425"/>
      <c r="F9" s="425"/>
      <c r="G9" s="425"/>
      <c r="H9" s="425"/>
      <c r="I9" s="425"/>
      <c r="J9" s="425"/>
      <c r="K9" s="425"/>
      <c r="L9" s="425"/>
      <c r="M9" s="425"/>
      <c r="N9" s="425"/>
      <c r="O9" s="425"/>
      <c r="P9" s="425"/>
      <c r="Q9" s="425"/>
      <c r="R9" s="425"/>
      <c r="S9" s="913"/>
    </row>
    <row r="10" spans="1:21" ht="12.75" customHeight="1">
      <c r="A10" s="912"/>
      <c r="B10" s="425"/>
      <c r="C10" s="425"/>
      <c r="D10" s="425"/>
      <c r="E10" s="425"/>
      <c r="F10" s="425"/>
      <c r="G10" s="425"/>
      <c r="H10" s="425"/>
      <c r="I10" s="425"/>
      <c r="J10" s="425"/>
      <c r="K10" s="425"/>
      <c r="L10" s="425"/>
      <c r="M10" s="425"/>
      <c r="N10" s="425"/>
      <c r="O10" s="425"/>
      <c r="P10" s="425"/>
      <c r="Q10" s="425"/>
      <c r="R10" s="425"/>
      <c r="S10" s="913"/>
    </row>
    <row r="11" spans="1:21" ht="12.75" customHeight="1">
      <c r="A11" s="912"/>
      <c r="B11" s="425"/>
      <c r="C11" s="425"/>
      <c r="D11" s="425"/>
      <c r="E11" s="425"/>
      <c r="F11" s="425"/>
      <c r="G11" s="425"/>
      <c r="H11" s="425"/>
      <c r="I11" s="425"/>
      <c r="J11" s="425"/>
      <c r="K11" s="425"/>
      <c r="L11" s="425"/>
      <c r="M11" s="425"/>
      <c r="N11" s="425"/>
      <c r="O11" s="425"/>
      <c r="P11" s="425"/>
      <c r="Q11" s="425"/>
      <c r="R11" s="425"/>
      <c r="S11" s="913"/>
    </row>
    <row r="12" spans="1:21" ht="12.75" customHeight="1">
      <c r="A12" s="912"/>
      <c r="B12" s="428"/>
      <c r="C12" s="425"/>
      <c r="D12" s="425"/>
      <c r="E12" s="425"/>
      <c r="F12" s="425"/>
      <c r="G12" s="425"/>
      <c r="H12" s="425"/>
      <c r="I12" s="425"/>
      <c r="J12" s="425"/>
      <c r="K12" s="425"/>
      <c r="L12" s="425"/>
      <c r="M12" s="425"/>
      <c r="N12" s="425"/>
      <c r="O12" s="425"/>
      <c r="P12" s="425"/>
      <c r="Q12" s="425"/>
      <c r="R12" s="425"/>
      <c r="S12" s="913"/>
    </row>
    <row r="13" spans="1:21" ht="12.75" customHeight="1">
      <c r="A13" s="912"/>
      <c r="B13" s="426"/>
      <c r="C13" s="425"/>
      <c r="D13" s="425"/>
      <c r="E13" s="425"/>
      <c r="F13" s="425"/>
      <c r="G13" s="425"/>
      <c r="H13" s="425"/>
      <c r="I13" s="425"/>
      <c r="J13" s="425"/>
      <c r="K13" s="425"/>
      <c r="L13" s="425"/>
      <c r="M13" s="425"/>
      <c r="N13" s="425"/>
      <c r="O13" s="425"/>
      <c r="P13" s="425"/>
      <c r="Q13" s="425"/>
      <c r="R13" s="425"/>
      <c r="S13" s="913"/>
    </row>
    <row r="14" spans="1:21" ht="12.75" customHeight="1">
      <c r="A14" s="912"/>
      <c r="B14" s="426"/>
      <c r="C14" s="425"/>
      <c r="D14" s="425"/>
      <c r="E14" s="425"/>
      <c r="F14" s="425"/>
      <c r="G14" s="425"/>
      <c r="H14" s="425"/>
      <c r="I14" s="425"/>
      <c r="J14" s="425"/>
      <c r="K14" s="425"/>
      <c r="L14" s="425"/>
      <c r="M14" s="425"/>
      <c r="N14" s="425"/>
      <c r="O14" s="425"/>
      <c r="P14" s="425"/>
      <c r="Q14" s="425"/>
      <c r="R14" s="425"/>
      <c r="S14" s="913"/>
    </row>
    <row r="15" spans="1:21" ht="12.75" customHeight="1">
      <c r="A15" s="912"/>
      <c r="B15" s="427"/>
      <c r="C15" s="425"/>
      <c r="D15" s="425"/>
      <c r="E15" s="425"/>
      <c r="F15" s="425"/>
      <c r="G15" s="425"/>
      <c r="H15" s="425"/>
      <c r="I15" s="425"/>
      <c r="J15" s="425"/>
      <c r="K15" s="425"/>
      <c r="L15" s="425"/>
      <c r="M15" s="425"/>
      <c r="N15" s="425"/>
      <c r="O15" s="425"/>
      <c r="P15" s="425"/>
      <c r="Q15" s="425"/>
      <c r="R15" s="425"/>
      <c r="S15" s="913"/>
    </row>
    <row r="16" spans="1:21" ht="12.75" customHeight="1">
      <c r="A16" s="912"/>
      <c r="B16" s="428"/>
      <c r="C16" s="425"/>
      <c r="D16" s="425"/>
      <c r="E16" s="425"/>
      <c r="F16" s="425"/>
      <c r="G16" s="425"/>
      <c r="H16" s="425"/>
      <c r="I16" s="425"/>
      <c r="J16" s="425"/>
      <c r="K16" s="425"/>
      <c r="L16" s="425"/>
      <c r="M16" s="425"/>
      <c r="N16" s="425"/>
      <c r="O16" s="425"/>
      <c r="P16" s="425"/>
      <c r="Q16" s="425"/>
      <c r="R16" s="425"/>
      <c r="S16" s="913"/>
    </row>
    <row r="17" spans="1:19" ht="12.75" customHeight="1">
      <c r="A17" s="912"/>
      <c r="B17" s="427"/>
      <c r="C17" s="425"/>
      <c r="D17" s="425"/>
      <c r="E17" s="425"/>
      <c r="F17" s="425"/>
      <c r="G17" s="425"/>
      <c r="H17" s="425"/>
      <c r="I17" s="425"/>
      <c r="J17" s="425"/>
      <c r="K17" s="425"/>
      <c r="L17" s="425"/>
      <c r="M17" s="425"/>
      <c r="N17" s="425"/>
      <c r="O17" s="425"/>
      <c r="P17" s="425"/>
      <c r="Q17" s="425"/>
      <c r="R17" s="425"/>
      <c r="S17" s="913"/>
    </row>
    <row r="18" spans="1:19" ht="12.75" customHeight="1">
      <c r="A18" s="912"/>
      <c r="B18" s="425"/>
      <c r="C18" s="425"/>
      <c r="D18" s="425"/>
      <c r="E18" s="425"/>
      <c r="F18" s="425"/>
      <c r="G18" s="425"/>
      <c r="H18" s="425"/>
      <c r="I18" s="425"/>
      <c r="J18" s="425"/>
      <c r="K18" s="425"/>
      <c r="L18" s="425"/>
      <c r="M18" s="425"/>
      <c r="N18" s="425"/>
      <c r="O18" s="425"/>
      <c r="P18" s="425"/>
      <c r="Q18" s="425"/>
      <c r="R18" s="425"/>
      <c r="S18" s="913"/>
    </row>
    <row r="19" spans="1:19" ht="12.75" customHeight="1">
      <c r="A19" s="912"/>
      <c r="B19" s="425"/>
      <c r="C19" s="425"/>
      <c r="D19" s="425"/>
      <c r="E19" s="425"/>
      <c r="F19" s="425"/>
      <c r="G19" s="425"/>
      <c r="H19" s="425"/>
      <c r="I19" s="425"/>
      <c r="J19" s="425"/>
      <c r="K19" s="425"/>
      <c r="L19" s="425"/>
      <c r="M19" s="425"/>
      <c r="N19" s="425"/>
      <c r="O19" s="425"/>
      <c r="P19" s="425"/>
      <c r="Q19" s="425"/>
      <c r="R19" s="425"/>
      <c r="S19" s="913"/>
    </row>
    <row r="20" spans="1:19" ht="12.75" customHeight="1">
      <c r="A20" s="912"/>
      <c r="B20" s="425"/>
      <c r="C20" s="425"/>
      <c r="D20" s="425"/>
      <c r="E20" s="425"/>
      <c r="F20" s="425"/>
      <c r="G20" s="425"/>
      <c r="H20" s="425"/>
      <c r="I20" s="425"/>
      <c r="J20" s="425"/>
      <c r="K20" s="425"/>
      <c r="L20" s="425"/>
      <c r="M20" s="425"/>
      <c r="N20" s="425"/>
      <c r="O20" s="425"/>
      <c r="P20" s="425"/>
      <c r="Q20" s="425"/>
      <c r="R20" s="425"/>
      <c r="S20" s="913"/>
    </row>
    <row r="21" spans="1:19" ht="12.75" customHeight="1">
      <c r="A21" s="912"/>
      <c r="B21" s="428"/>
      <c r="C21" s="425"/>
      <c r="D21" s="425"/>
      <c r="E21" s="425"/>
      <c r="F21" s="425"/>
      <c r="G21" s="425"/>
      <c r="H21" s="425"/>
      <c r="I21" s="425"/>
      <c r="J21" s="425"/>
      <c r="K21" s="425"/>
      <c r="L21" s="425"/>
      <c r="M21" s="425"/>
      <c r="N21" s="425"/>
      <c r="O21" s="425"/>
      <c r="P21" s="425"/>
      <c r="Q21" s="425"/>
      <c r="R21" s="425"/>
      <c r="S21" s="913"/>
    </row>
    <row r="22" spans="1:19" ht="12.75" customHeight="1">
      <c r="A22" s="912"/>
      <c r="B22" s="426"/>
      <c r="C22" s="425"/>
      <c r="D22" s="425"/>
      <c r="E22" s="425"/>
      <c r="F22" s="425"/>
      <c r="G22" s="425"/>
      <c r="H22" s="425"/>
      <c r="I22" s="425"/>
      <c r="J22" s="425"/>
      <c r="K22" s="425"/>
      <c r="L22" s="425"/>
      <c r="M22" s="425"/>
      <c r="N22" s="425"/>
      <c r="O22" s="425"/>
      <c r="P22" s="425"/>
      <c r="Q22" s="425"/>
      <c r="R22" s="425"/>
      <c r="S22" s="914"/>
    </row>
    <row r="23" spans="1:19" ht="12.75" customHeight="1">
      <c r="A23" s="428"/>
      <c r="B23" s="428"/>
      <c r="C23" s="425"/>
      <c r="D23" s="425"/>
      <c r="E23" s="425"/>
      <c r="F23" s="425"/>
      <c r="G23" s="425"/>
      <c r="H23" s="425"/>
      <c r="I23" s="425"/>
      <c r="J23" s="425"/>
      <c r="K23" s="425"/>
      <c r="L23" s="425"/>
      <c r="M23" s="425"/>
      <c r="N23" s="425"/>
      <c r="O23" s="425"/>
      <c r="P23" s="425"/>
      <c r="Q23" s="425"/>
      <c r="R23" s="425"/>
      <c r="S23" s="914"/>
    </row>
    <row r="24" spans="1:19" ht="12.75" customHeight="1">
      <c r="A24" s="428"/>
      <c r="B24" s="428"/>
      <c r="C24" s="425"/>
      <c r="D24" s="425"/>
      <c r="E24" s="425"/>
      <c r="F24" s="425"/>
      <c r="G24" s="425"/>
      <c r="H24" s="425"/>
      <c r="I24" s="425"/>
      <c r="J24" s="425"/>
      <c r="K24" s="425"/>
      <c r="L24" s="425"/>
      <c r="M24" s="425"/>
      <c r="N24" s="425"/>
      <c r="O24" s="425"/>
      <c r="P24" s="425"/>
      <c r="Q24" s="425"/>
      <c r="R24" s="425"/>
      <c r="S24" s="914"/>
    </row>
    <row r="25" spans="1:19" ht="12.75" customHeight="1">
      <c r="A25" s="428"/>
      <c r="B25" s="428"/>
      <c r="C25" s="428"/>
      <c r="D25" s="428"/>
      <c r="E25" s="428"/>
      <c r="F25" s="428"/>
      <c r="G25" s="428"/>
      <c r="H25" s="428"/>
      <c r="I25" s="428"/>
      <c r="J25" s="428"/>
      <c r="K25" s="428"/>
      <c r="L25" s="428"/>
      <c r="M25" s="428"/>
      <c r="N25" s="428"/>
      <c r="O25" s="428"/>
      <c r="P25" s="428"/>
      <c r="Q25" s="428"/>
      <c r="R25" s="428"/>
      <c r="S25" s="914"/>
    </row>
    <row r="26" spans="1:19" ht="12.75" customHeight="1">
      <c r="A26" s="428"/>
      <c r="B26" s="428"/>
      <c r="C26" s="428"/>
      <c r="D26" s="428"/>
      <c r="E26" s="428"/>
      <c r="F26" s="428"/>
      <c r="G26" s="428"/>
      <c r="H26" s="428"/>
      <c r="I26" s="428"/>
      <c r="J26" s="428"/>
      <c r="K26" s="428"/>
      <c r="L26" s="428"/>
      <c r="M26" s="428"/>
      <c r="N26" s="428"/>
      <c r="O26" s="428"/>
      <c r="P26" s="428"/>
      <c r="Q26" s="428"/>
      <c r="R26" s="428"/>
      <c r="S26" s="914"/>
    </row>
    <row r="27" spans="1:19" ht="12.75" customHeight="1">
      <c r="A27" s="428"/>
      <c r="B27" s="428"/>
      <c r="C27" s="428"/>
      <c r="D27" s="428"/>
      <c r="E27" s="428"/>
      <c r="F27" s="428"/>
      <c r="G27" s="428"/>
      <c r="H27" s="428"/>
      <c r="I27" s="428"/>
      <c r="J27" s="428"/>
      <c r="K27" s="428"/>
      <c r="L27" s="428"/>
      <c r="M27" s="428"/>
      <c r="N27" s="428"/>
      <c r="O27" s="428"/>
      <c r="P27" s="428"/>
      <c r="Q27" s="428"/>
      <c r="R27" s="428"/>
      <c r="S27" s="914"/>
    </row>
    <row r="28" spans="1:19" ht="12.75" customHeight="1">
      <c r="A28" s="428"/>
      <c r="B28" s="428"/>
      <c r="C28" s="428"/>
      <c r="D28" s="428"/>
      <c r="E28" s="428"/>
      <c r="F28" s="428"/>
      <c r="G28" s="428"/>
      <c r="H28" s="428"/>
      <c r="I28" s="428"/>
      <c r="J28" s="428"/>
      <c r="K28" s="428"/>
      <c r="L28" s="428"/>
      <c r="M28" s="428"/>
      <c r="N28" s="428"/>
      <c r="O28" s="428"/>
      <c r="P28" s="428"/>
      <c r="Q28" s="428"/>
      <c r="R28" s="428"/>
      <c r="S28" s="914"/>
    </row>
    <row r="29" spans="1:19" ht="12.75" customHeight="1">
      <c r="A29" s="428"/>
      <c r="B29" s="428"/>
      <c r="C29" s="428"/>
      <c r="D29" s="428"/>
      <c r="E29" s="428"/>
      <c r="F29" s="428"/>
      <c r="G29" s="428"/>
      <c r="H29" s="428"/>
      <c r="I29" s="428"/>
      <c r="J29" s="428"/>
      <c r="K29" s="428"/>
      <c r="L29" s="428"/>
      <c r="M29" s="428"/>
      <c r="N29" s="428"/>
      <c r="O29" s="428"/>
      <c r="P29" s="428"/>
      <c r="Q29" s="428"/>
      <c r="R29" s="428"/>
      <c r="S29" s="914"/>
    </row>
    <row r="30" spans="1:19" ht="12.75" customHeight="1">
      <c r="A30" s="428"/>
      <c r="B30" s="428"/>
      <c r="C30" s="428"/>
      <c r="D30" s="428"/>
      <c r="E30" s="428"/>
      <c r="F30" s="428"/>
      <c r="G30" s="428"/>
      <c r="H30" s="428"/>
      <c r="I30" s="428"/>
      <c r="J30" s="428"/>
      <c r="K30" s="428"/>
      <c r="L30" s="428"/>
      <c r="M30" s="428"/>
      <c r="N30" s="428"/>
      <c r="O30" s="428"/>
      <c r="P30" s="428"/>
      <c r="Q30" s="428"/>
      <c r="R30" s="428"/>
      <c r="S30" s="914"/>
    </row>
    <row r="31" spans="1:19" ht="12.75" customHeight="1">
      <c r="A31" s="912"/>
      <c r="B31" s="916"/>
      <c r="C31" s="916"/>
      <c r="D31" s="916"/>
      <c r="E31" s="916"/>
      <c r="F31" s="916"/>
      <c r="G31" s="916"/>
      <c r="H31" s="916"/>
      <c r="I31" s="916"/>
      <c r="J31" s="916"/>
      <c r="K31" s="916"/>
      <c r="L31" s="916"/>
      <c r="M31" s="916"/>
      <c r="N31" s="916"/>
      <c r="O31" s="916"/>
      <c r="P31" s="425"/>
      <c r="Q31" s="425"/>
      <c r="R31" s="425"/>
      <c r="S31" s="914"/>
    </row>
    <row r="32" spans="1:19" ht="12.75" customHeight="1">
      <c r="A32" s="912"/>
      <c r="B32" s="425"/>
      <c r="C32" s="425"/>
      <c r="D32" s="425"/>
      <c r="E32" s="425"/>
      <c r="F32" s="425"/>
      <c r="G32" s="425"/>
      <c r="H32" s="425"/>
      <c r="I32" s="425"/>
      <c r="J32" s="425"/>
      <c r="K32" s="425"/>
      <c r="L32" s="425"/>
      <c r="M32" s="425"/>
      <c r="N32" s="425"/>
      <c r="O32" s="425"/>
      <c r="P32" s="425"/>
      <c r="Q32" s="425"/>
      <c r="R32" s="425"/>
      <c r="S32" s="914"/>
    </row>
    <row r="33" spans="1:19" ht="12.75" customHeight="1">
      <c r="A33" s="912"/>
      <c r="B33" s="426"/>
      <c r="C33" s="425"/>
      <c r="D33" s="425"/>
      <c r="E33" s="425"/>
      <c r="F33" s="425"/>
      <c r="G33" s="425"/>
      <c r="H33" s="425"/>
      <c r="I33" s="425"/>
      <c r="J33" s="425"/>
      <c r="K33" s="425"/>
      <c r="L33" s="425"/>
      <c r="M33" s="425"/>
      <c r="N33" s="425"/>
      <c r="O33" s="425"/>
      <c r="P33" s="425"/>
      <c r="Q33" s="425"/>
      <c r="R33" s="425"/>
      <c r="S33" s="914"/>
    </row>
    <row r="34" spans="1:19" ht="12.75" customHeight="1">
      <c r="A34" s="912"/>
      <c r="B34" s="917"/>
      <c r="C34" s="425"/>
      <c r="D34" s="425"/>
      <c r="E34" s="425"/>
      <c r="F34" s="425"/>
      <c r="G34" s="425"/>
      <c r="H34" s="425"/>
      <c r="I34" s="425"/>
      <c r="J34" s="425"/>
      <c r="K34" s="425"/>
      <c r="L34" s="425"/>
      <c r="M34" s="425"/>
      <c r="N34" s="425"/>
      <c r="O34" s="425"/>
      <c r="P34" s="425"/>
      <c r="Q34" s="425"/>
      <c r="R34" s="425"/>
      <c r="S34" s="914"/>
    </row>
    <row r="35" spans="1:19" ht="12.75" customHeight="1">
      <c r="A35" s="428"/>
      <c r="B35" s="428"/>
      <c r="C35" s="425"/>
      <c r="D35" s="425"/>
      <c r="E35" s="425"/>
      <c r="F35" s="425"/>
      <c r="G35" s="425"/>
      <c r="H35" s="425"/>
      <c r="I35" s="425"/>
      <c r="J35" s="425"/>
      <c r="K35" s="425"/>
      <c r="L35" s="425"/>
      <c r="M35" s="425"/>
      <c r="N35" s="425"/>
      <c r="O35" s="425"/>
      <c r="P35" s="425"/>
      <c r="Q35" s="425"/>
      <c r="R35" s="425"/>
      <c r="S35" s="914"/>
    </row>
    <row r="36" spans="1:19" ht="12.75" customHeight="1">
      <c r="A36" s="912"/>
      <c r="B36" s="429"/>
      <c r="C36" s="918"/>
      <c r="D36" s="918"/>
      <c r="E36" s="425"/>
      <c r="F36" s="425"/>
      <c r="G36" s="425"/>
      <c r="H36" s="425"/>
      <c r="I36" s="425"/>
      <c r="J36" s="425"/>
      <c r="K36" s="425"/>
      <c r="L36" s="425"/>
      <c r="M36" s="425"/>
      <c r="N36" s="425"/>
      <c r="O36" s="425"/>
      <c r="P36" s="425"/>
      <c r="Q36" s="425"/>
      <c r="R36" s="425"/>
      <c r="S36" s="913"/>
    </row>
    <row r="37" spans="1:19" ht="12.75" customHeight="1">
      <c r="A37" s="912"/>
      <c r="B37" s="429"/>
      <c r="C37" s="919"/>
      <c r="D37" s="919"/>
      <c r="E37" s="919"/>
      <c r="F37" s="919"/>
      <c r="G37" s="919"/>
      <c r="H37" s="425"/>
      <c r="I37" s="425"/>
      <c r="J37" s="425"/>
      <c r="K37" s="425"/>
      <c r="L37" s="425"/>
      <c r="M37" s="425"/>
      <c r="N37" s="425"/>
      <c r="O37" s="425"/>
      <c r="P37" s="425"/>
      <c r="Q37" s="425"/>
      <c r="R37" s="425"/>
      <c r="S37" s="913"/>
    </row>
    <row r="38" spans="1:19" ht="12.75" customHeight="1">
      <c r="A38" s="912"/>
      <c r="B38" s="425"/>
      <c r="C38" s="425"/>
      <c r="D38" s="425"/>
      <c r="E38" s="425"/>
      <c r="F38" s="425"/>
      <c r="G38" s="425"/>
      <c r="H38" s="425"/>
      <c r="I38" s="425"/>
      <c r="J38" s="425"/>
      <c r="K38" s="425"/>
      <c r="L38" s="425"/>
      <c r="M38" s="425"/>
      <c r="N38" s="425"/>
      <c r="O38" s="425"/>
      <c r="P38" s="425"/>
      <c r="Q38" s="425"/>
      <c r="R38" s="425"/>
      <c r="S38" s="913"/>
    </row>
    <row r="39" spans="1:19" ht="12.75" customHeight="1">
      <c r="A39" s="920"/>
      <c r="B39" s="1549"/>
      <c r="C39" s="1550"/>
      <c r="D39" s="1550"/>
      <c r="E39" s="1550"/>
      <c r="F39" s="1550"/>
      <c r="G39" s="1550"/>
      <c r="H39" s="1550"/>
      <c r="I39" s="1550"/>
      <c r="J39" s="1550"/>
      <c r="K39" s="1550"/>
      <c r="L39" s="1550"/>
      <c r="M39" s="1550"/>
      <c r="N39" s="1550"/>
      <c r="O39" s="1550"/>
      <c r="P39" s="1550"/>
      <c r="Q39" s="1550"/>
      <c r="R39" s="1550"/>
      <c r="S39" s="922"/>
    </row>
    <row r="40" spans="1:19" ht="12.75" customHeight="1">
      <c r="A40" s="912"/>
      <c r="B40" s="425"/>
      <c r="C40" s="425"/>
      <c r="D40" s="425"/>
      <c r="E40" s="425"/>
      <c r="F40" s="425"/>
      <c r="G40" s="425"/>
      <c r="H40" s="425"/>
      <c r="I40" s="425"/>
      <c r="J40" s="425"/>
      <c r="K40" s="425"/>
      <c r="L40" s="425"/>
      <c r="M40" s="425"/>
      <c r="N40" s="425"/>
      <c r="O40" s="425"/>
      <c r="P40" s="425"/>
      <c r="Q40" s="425"/>
      <c r="R40" s="425"/>
      <c r="S40" s="913"/>
    </row>
    <row r="41" spans="1:19" ht="12.75" customHeight="1">
      <c r="A41" s="912"/>
      <c r="B41" s="425"/>
      <c r="C41" s="425"/>
      <c r="D41" s="425"/>
      <c r="E41" s="425"/>
      <c r="F41" s="425"/>
      <c r="G41" s="425"/>
      <c r="H41" s="425"/>
      <c r="I41" s="425"/>
      <c r="J41" s="425"/>
      <c r="K41" s="425"/>
      <c r="L41" s="425"/>
      <c r="M41" s="425"/>
      <c r="N41" s="425"/>
      <c r="O41" s="425"/>
      <c r="P41" s="425"/>
      <c r="Q41" s="425"/>
      <c r="R41" s="425"/>
      <c r="S41" s="913"/>
    </row>
    <row r="42" spans="1:19" ht="12.75" customHeight="1">
      <c r="A42" s="912"/>
      <c r="B42" s="425"/>
      <c r="C42" s="425"/>
      <c r="D42" s="425"/>
      <c r="E42" s="425"/>
      <c r="F42" s="425"/>
      <c r="G42" s="425"/>
      <c r="H42" s="425"/>
      <c r="I42" s="425"/>
      <c r="J42" s="425"/>
      <c r="K42" s="425"/>
      <c r="L42" s="425"/>
      <c r="M42" s="425"/>
      <c r="N42" s="425"/>
      <c r="O42" s="425"/>
      <c r="P42" s="425"/>
      <c r="Q42" s="425"/>
      <c r="R42" s="425"/>
      <c r="S42" s="913"/>
    </row>
    <row r="43" spans="1:19" ht="12.75" customHeight="1">
      <c r="A43" s="912"/>
      <c r="B43" s="425"/>
      <c r="C43" s="425"/>
      <c r="D43" s="425"/>
      <c r="E43" s="425"/>
      <c r="F43" s="425"/>
      <c r="G43" s="425"/>
      <c r="H43" s="425"/>
      <c r="I43" s="425"/>
      <c r="J43" s="425"/>
      <c r="K43" s="425"/>
      <c r="L43" s="425"/>
      <c r="M43" s="425"/>
      <c r="N43" s="425"/>
      <c r="O43" s="425"/>
      <c r="P43" s="425"/>
      <c r="Q43" s="425"/>
      <c r="R43" s="425"/>
      <c r="S43" s="913"/>
    </row>
    <row r="44" spans="1:19" ht="12.75" customHeight="1">
      <c r="A44" s="912"/>
      <c r="B44" s="425"/>
      <c r="C44" s="425"/>
      <c r="D44" s="425"/>
      <c r="E44" s="425"/>
      <c r="F44" s="425"/>
      <c r="G44" s="425"/>
      <c r="H44" s="425"/>
      <c r="I44" s="425"/>
      <c r="J44" s="425"/>
      <c r="K44" s="425"/>
      <c r="L44" s="425"/>
      <c r="M44" s="425"/>
      <c r="N44" s="425"/>
      <c r="O44" s="425"/>
      <c r="P44" s="425"/>
      <c r="Q44" s="425"/>
      <c r="R44" s="425"/>
      <c r="S44" s="913"/>
    </row>
    <row r="45" spans="1:19" ht="12.75" customHeight="1">
      <c r="A45" s="912"/>
      <c r="B45" s="940" t="s">
        <v>919</v>
      </c>
      <c r="C45" s="941"/>
      <c r="D45" s="941"/>
      <c r="E45" s="916"/>
      <c r="F45" s="916"/>
      <c r="G45" s="916"/>
      <c r="H45" s="916"/>
      <c r="I45" s="916"/>
      <c r="J45" s="916"/>
      <c r="K45" s="425"/>
      <c r="L45" s="425"/>
      <c r="M45" s="425"/>
      <c r="N45" s="425"/>
      <c r="O45" s="425"/>
      <c r="P45" s="425"/>
      <c r="Q45" s="425"/>
      <c r="R45" s="425"/>
      <c r="S45" s="913"/>
    </row>
    <row r="46" spans="1:19" ht="12.75" customHeight="1">
      <c r="A46" s="912"/>
      <c r="B46" s="940" t="s">
        <v>920</v>
      </c>
      <c r="C46" s="941"/>
      <c r="D46" s="941"/>
      <c r="E46" s="941"/>
      <c r="F46" s="941"/>
      <c r="G46" s="941"/>
      <c r="H46" s="916"/>
      <c r="I46" s="916"/>
      <c r="J46" s="916"/>
      <c r="K46" s="425"/>
      <c r="L46" s="425"/>
      <c r="M46" s="425"/>
      <c r="N46" s="425"/>
      <c r="O46" s="425"/>
      <c r="P46" s="425"/>
      <c r="Q46" s="425"/>
      <c r="R46" s="425"/>
      <c r="S46" s="913"/>
    </row>
    <row r="47" spans="1:19">
      <c r="A47" s="912"/>
      <c r="B47" s="425"/>
      <c r="C47" s="425"/>
      <c r="D47" s="425"/>
      <c r="E47" s="425"/>
      <c r="F47" s="425"/>
      <c r="G47" s="425"/>
      <c r="H47" s="425"/>
      <c r="I47" s="425"/>
      <c r="J47" s="425"/>
      <c r="K47" s="425"/>
      <c r="L47" s="425"/>
      <c r="M47" s="425"/>
      <c r="N47" s="425"/>
      <c r="O47" s="425"/>
      <c r="P47" s="425"/>
      <c r="Q47" s="425"/>
      <c r="R47" s="425"/>
      <c r="S47" s="913"/>
    </row>
    <row r="48" spans="1:19" ht="12.75" customHeight="1">
      <c r="A48" s="912"/>
      <c r="B48" s="1549" t="s">
        <v>921</v>
      </c>
      <c r="C48" s="1550"/>
      <c r="D48" s="1550"/>
      <c r="E48" s="1550"/>
      <c r="F48" s="1550"/>
      <c r="G48" s="1550"/>
      <c r="H48" s="1550"/>
      <c r="I48" s="1550"/>
      <c r="J48" s="1550"/>
      <c r="K48" s="1550"/>
      <c r="L48" s="1550"/>
      <c r="M48" s="1550"/>
      <c r="N48" s="1550"/>
      <c r="O48" s="1550"/>
      <c r="P48" s="1550"/>
      <c r="Q48" s="1550"/>
      <c r="R48" s="1550"/>
      <c r="S48" s="913"/>
    </row>
    <row r="49" spans="1:19" ht="12.75" customHeight="1">
      <c r="A49" s="912"/>
      <c r="B49" s="918" t="s">
        <v>922</v>
      </c>
      <c r="C49" s="425"/>
      <c r="D49" s="425"/>
      <c r="E49" s="425"/>
      <c r="F49" s="425"/>
      <c r="G49" s="425"/>
      <c r="H49" s="425"/>
      <c r="I49" s="425"/>
      <c r="J49" s="425"/>
      <c r="K49" s="425"/>
      <c r="L49" s="425"/>
      <c r="M49" s="425"/>
      <c r="N49" s="425"/>
      <c r="O49" s="425"/>
      <c r="P49" s="425"/>
      <c r="Q49" s="425"/>
      <c r="R49" s="425"/>
      <c r="S49" s="913"/>
    </row>
    <row r="50" spans="1:19" ht="12.75" customHeight="1">
      <c r="A50" s="912"/>
      <c r="B50" s="425"/>
      <c r="C50" s="425"/>
      <c r="D50" s="425"/>
      <c r="E50" s="425"/>
      <c r="F50" s="425"/>
      <c r="G50" s="425"/>
      <c r="H50" s="425"/>
      <c r="I50" s="425"/>
      <c r="J50" s="425"/>
      <c r="K50" s="425"/>
      <c r="L50" s="425"/>
      <c r="M50" s="425"/>
      <c r="N50" s="425"/>
      <c r="O50" s="425"/>
      <c r="P50" s="425"/>
      <c r="Q50" s="425"/>
      <c r="R50" s="425"/>
      <c r="S50" s="914"/>
    </row>
    <row r="51" spans="1:19" ht="12.75" customHeight="1">
      <c r="A51" s="912"/>
      <c r="B51" s="425"/>
      <c r="C51" s="425"/>
      <c r="D51" s="425"/>
      <c r="E51" s="425"/>
      <c r="F51" s="425"/>
      <c r="G51" s="425"/>
      <c r="H51" s="425"/>
      <c r="I51" s="425"/>
      <c r="J51" s="425"/>
      <c r="K51" s="425"/>
      <c r="L51" s="425"/>
      <c r="M51" s="425"/>
      <c r="N51" s="425"/>
      <c r="O51" s="425"/>
      <c r="P51" s="425"/>
      <c r="Q51" s="425"/>
      <c r="R51" s="425"/>
      <c r="S51" s="914"/>
    </row>
    <row r="52" spans="1:19" ht="12.75" customHeight="1">
      <c r="A52" s="425"/>
      <c r="B52" s="425"/>
      <c r="C52" s="425"/>
      <c r="D52" s="425"/>
      <c r="E52" s="425"/>
      <c r="F52" s="425"/>
      <c r="G52" s="425"/>
      <c r="H52" s="425"/>
      <c r="I52" s="425"/>
      <c r="J52" s="425"/>
      <c r="K52" s="425"/>
      <c r="L52" s="425"/>
      <c r="M52" s="425"/>
      <c r="N52" s="425"/>
      <c r="O52" s="425"/>
      <c r="P52" s="425"/>
      <c r="Q52" s="425"/>
      <c r="R52" s="425"/>
      <c r="S52" s="914"/>
    </row>
    <row r="53" spans="1:19" ht="12.75" customHeight="1">
      <c r="A53" s="425"/>
      <c r="B53" s="425"/>
      <c r="C53" s="425"/>
      <c r="D53" s="425"/>
      <c r="E53" s="425"/>
      <c r="F53" s="425"/>
      <c r="G53" s="425"/>
      <c r="H53" s="425"/>
      <c r="I53" s="425"/>
      <c r="J53" s="425"/>
      <c r="K53" s="425"/>
      <c r="L53" s="425"/>
      <c r="M53" s="425"/>
      <c r="N53" s="425"/>
      <c r="O53" s="425"/>
      <c r="P53" s="425"/>
      <c r="Q53" s="425"/>
      <c r="R53" s="425"/>
      <c r="S53" s="914"/>
    </row>
    <row r="54" spans="1:19" ht="12.75" customHeight="1">
      <c r="A54" s="323"/>
      <c r="B54" s="323"/>
      <c r="C54" s="323"/>
      <c r="D54" s="323"/>
      <c r="E54" s="323"/>
      <c r="F54" s="323"/>
      <c r="G54" s="323"/>
      <c r="H54" s="323"/>
      <c r="I54" s="323"/>
      <c r="J54" s="323"/>
      <c r="K54" s="323"/>
      <c r="L54" s="323"/>
      <c r="M54" s="323"/>
      <c r="N54" s="323"/>
      <c r="O54" s="323"/>
      <c r="P54" s="323"/>
      <c r="Q54" s="323"/>
      <c r="R54" s="323"/>
      <c r="S54" s="1006"/>
    </row>
    <row r="55" spans="1:19" ht="12.75" customHeight="1">
      <c r="A55" s="322"/>
      <c r="B55" s="323"/>
      <c r="C55" s="323"/>
      <c r="D55" s="323"/>
      <c r="E55" s="323"/>
      <c r="F55" s="323"/>
      <c r="G55" s="323"/>
      <c r="H55" s="323"/>
      <c r="I55" s="323"/>
      <c r="J55" s="323"/>
      <c r="K55" s="323"/>
      <c r="L55" s="323"/>
      <c r="M55" s="323"/>
      <c r="N55" s="323"/>
      <c r="O55" s="323"/>
      <c r="P55" s="323"/>
      <c r="Q55" s="323"/>
      <c r="R55" s="990" t="s">
        <v>757</v>
      </c>
      <c r="S55" s="1006"/>
    </row>
    <row r="56" spans="1:19" ht="12.75" customHeight="1">
      <c r="A56" s="330"/>
      <c r="B56" s="331"/>
      <c r="C56" s="331"/>
      <c r="D56" s="331"/>
      <c r="E56" s="331"/>
      <c r="F56" s="331"/>
      <c r="G56" s="331"/>
      <c r="H56" s="331"/>
      <c r="I56" s="331"/>
      <c r="J56" s="331"/>
      <c r="K56" s="331"/>
      <c r="L56" s="331"/>
      <c r="M56" s="331"/>
      <c r="N56" s="331"/>
      <c r="O56" s="331"/>
      <c r="P56" s="331"/>
      <c r="Q56" s="331"/>
      <c r="R56" s="331"/>
      <c r="S56" s="1007"/>
    </row>
  </sheetData>
  <sheetProtection algorithmName="SHA-512" hashValue="2ptxzFbWIEalSOJ7ZD3ziQnWKPkYt/q8CACOJj7dTpHgX1etClEjyShDvqXk2OK2HijUw9un2L66UpVqv6vTbw==" saltValue="LzKWVFE7d//Z4Ti5S9BZzw==" spinCount="100000" sheet="1" scenarios="1" insertHyperlinks="0"/>
  <mergeCells count="3">
    <mergeCell ref="A1:S1"/>
    <mergeCell ref="B39:R39"/>
    <mergeCell ref="B48:R48"/>
  </mergeCells>
  <hyperlinks>
    <hyperlink ref="R55" location="'EV5 Acc. Stack Construction'!A1" display="BACK" xr:uid="{7E45D3C0-AF0C-48C0-8317-EA5C25D7F85C}"/>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C9F65-86D2-452B-9A99-2272B731A2E1}">
  <sheetPr codeName="Tabelle9">
    <pageSetUpPr fitToPage="1"/>
  </sheetPr>
  <dimension ref="A1:U56"/>
  <sheetViews>
    <sheetView showGridLines="0" view="pageBreakPreview" zoomScaleNormal="100" zoomScaleSheetLayoutView="100" workbookViewId="0">
      <selection sqref="A1:S1"/>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546" t="s">
        <v>923</v>
      </c>
      <c r="B1" s="1546"/>
      <c r="C1" s="1546"/>
      <c r="D1" s="1546"/>
      <c r="E1" s="1546"/>
      <c r="F1" s="1546"/>
      <c r="G1" s="1546"/>
      <c r="H1" s="1546"/>
      <c r="I1" s="1546"/>
      <c r="J1" s="1546"/>
      <c r="K1" s="1546"/>
      <c r="L1" s="1546"/>
      <c r="M1" s="1546"/>
      <c r="N1" s="1546"/>
      <c r="O1" s="1546"/>
      <c r="P1" s="1546"/>
      <c r="Q1" s="1546"/>
      <c r="R1" s="1546"/>
      <c r="S1" s="1546"/>
    </row>
    <row r="2" spans="1:21">
      <c r="A2" s="909"/>
      <c r="B2" s="910"/>
      <c r="C2" s="910"/>
      <c r="D2" s="910"/>
      <c r="E2" s="910"/>
      <c r="F2" s="910"/>
      <c r="G2" s="910"/>
      <c r="H2" s="910"/>
      <c r="I2" s="910"/>
      <c r="J2" s="910"/>
      <c r="K2" s="910"/>
      <c r="L2" s="910"/>
      <c r="M2" s="910"/>
      <c r="N2" s="910"/>
      <c r="O2" s="910"/>
      <c r="P2" s="910"/>
      <c r="Q2" s="910"/>
      <c r="R2" s="910"/>
      <c r="S2" s="911"/>
      <c r="U2" s="194"/>
    </row>
    <row r="3" spans="1:21">
      <c r="A3" s="912"/>
      <c r="B3" s="927" t="s">
        <v>924</v>
      </c>
      <c r="C3" s="425"/>
      <c r="D3" s="425"/>
      <c r="E3" s="425"/>
      <c r="F3" s="425"/>
      <c r="G3" s="425"/>
      <c r="H3" s="425"/>
      <c r="I3" s="425"/>
      <c r="J3" s="425"/>
      <c r="K3" s="425"/>
      <c r="L3" s="425"/>
      <c r="M3" s="425"/>
      <c r="N3" s="425"/>
      <c r="O3" s="425"/>
      <c r="P3" s="425"/>
      <c r="Q3" s="425"/>
      <c r="R3" s="425"/>
      <c r="S3" s="913"/>
    </row>
    <row r="4" spans="1:21">
      <c r="A4" s="425"/>
      <c r="B4" s="916" t="s">
        <v>925</v>
      </c>
      <c r="C4" s="425"/>
      <c r="D4" s="425"/>
      <c r="E4" s="425"/>
      <c r="F4" s="425"/>
      <c r="G4" s="425"/>
      <c r="H4" s="425"/>
      <c r="I4" s="425"/>
      <c r="J4" s="425"/>
      <c r="K4" s="425"/>
      <c r="L4" s="425"/>
      <c r="M4" s="425"/>
      <c r="N4" s="425"/>
      <c r="O4" s="425"/>
      <c r="P4" s="425"/>
      <c r="Q4" s="425"/>
      <c r="R4" s="425"/>
      <c r="S4" s="913"/>
      <c r="U4" s="194"/>
    </row>
    <row r="5" spans="1:21">
      <c r="A5" s="912"/>
      <c r="B5" s="425" t="s">
        <v>926</v>
      </c>
      <c r="C5" s="425"/>
      <c r="D5" s="425"/>
      <c r="E5" s="425"/>
      <c r="F5" s="425"/>
      <c r="G5" s="425"/>
      <c r="H5" s="425"/>
      <c r="I5" s="425"/>
      <c r="J5" s="425"/>
      <c r="K5" s="425"/>
      <c r="L5" s="425"/>
      <c r="M5" s="425"/>
      <c r="N5" s="425"/>
      <c r="O5" s="425"/>
      <c r="P5" s="425"/>
      <c r="Q5" s="425"/>
      <c r="R5" s="425"/>
      <c r="S5" s="913"/>
    </row>
    <row r="6" spans="1:21">
      <c r="A6" s="912"/>
      <c r="B6" s="425" t="s">
        <v>927</v>
      </c>
      <c r="C6" s="425"/>
      <c r="D6" s="425"/>
      <c r="E6" s="425"/>
      <c r="F6" s="425"/>
      <c r="G6" s="425"/>
      <c r="H6" s="425"/>
      <c r="I6" s="425"/>
      <c r="J6" s="425"/>
      <c r="K6" s="425"/>
      <c r="L6" s="425"/>
      <c r="M6" s="425"/>
      <c r="N6" s="425"/>
      <c r="O6" s="425"/>
      <c r="P6" s="425"/>
      <c r="Q6" s="425"/>
      <c r="R6" s="425"/>
      <c r="S6" s="913"/>
    </row>
    <row r="7" spans="1:21">
      <c r="A7" s="912"/>
      <c r="B7" s="425" t="s">
        <v>928</v>
      </c>
      <c r="C7" s="425"/>
      <c r="D7" s="425"/>
      <c r="E7" s="425"/>
      <c r="F7" s="425"/>
      <c r="G7" s="425"/>
      <c r="H7" s="425"/>
      <c r="I7" s="425"/>
      <c r="J7" s="425"/>
      <c r="K7" s="425"/>
      <c r="L7" s="425"/>
      <c r="M7" s="425"/>
      <c r="N7" s="425"/>
      <c r="O7" s="425"/>
      <c r="P7" s="425"/>
      <c r="Q7" s="425"/>
      <c r="R7" s="425"/>
      <c r="S7" s="913"/>
    </row>
    <row r="8" spans="1:21">
      <c r="A8" s="912"/>
      <c r="B8" s="425" t="s">
        <v>929</v>
      </c>
      <c r="C8" s="425"/>
      <c r="D8" s="425"/>
      <c r="E8" s="425"/>
      <c r="F8" s="425"/>
      <c r="G8" s="425"/>
      <c r="H8" s="425"/>
      <c r="I8" s="425"/>
      <c r="J8" s="425"/>
      <c r="K8" s="425"/>
      <c r="L8" s="425"/>
      <c r="M8" s="425"/>
      <c r="N8" s="425"/>
      <c r="O8" s="425"/>
      <c r="P8" s="425"/>
      <c r="Q8" s="425"/>
      <c r="R8" s="425"/>
      <c r="S8" s="913"/>
    </row>
    <row r="9" spans="1:21">
      <c r="A9" s="912"/>
      <c r="B9" s="425"/>
      <c r="C9" s="425"/>
      <c r="D9" s="425"/>
      <c r="E9" s="425"/>
      <c r="F9" s="425"/>
      <c r="G9" s="425"/>
      <c r="H9" s="425"/>
      <c r="I9" s="425"/>
      <c r="J9" s="425"/>
      <c r="K9" s="425"/>
      <c r="L9" s="425"/>
      <c r="M9" s="425"/>
      <c r="N9" s="425"/>
      <c r="O9" s="425"/>
      <c r="P9" s="425"/>
      <c r="Q9" s="425"/>
      <c r="R9" s="425"/>
      <c r="S9" s="913"/>
    </row>
    <row r="10" spans="1:21" ht="13.25" customHeight="1">
      <c r="A10" s="912"/>
      <c r="B10" s="916" t="s">
        <v>930</v>
      </c>
      <c r="C10" s="425"/>
      <c r="D10" s="425"/>
      <c r="E10" s="425"/>
      <c r="F10" s="425"/>
      <c r="G10" s="425"/>
      <c r="H10" s="425"/>
      <c r="I10" s="425"/>
      <c r="J10" s="425"/>
      <c r="K10" s="425"/>
      <c r="L10" s="425"/>
      <c r="M10" s="425"/>
      <c r="N10" s="425"/>
      <c r="O10" s="425"/>
      <c r="P10" s="425"/>
      <c r="Q10" s="425"/>
      <c r="R10" s="425"/>
      <c r="S10" s="913"/>
    </row>
    <row r="11" spans="1:21">
      <c r="A11" s="912"/>
      <c r="B11" s="425" t="s">
        <v>931</v>
      </c>
      <c r="C11" s="425"/>
      <c r="D11" s="425"/>
      <c r="E11" s="425"/>
      <c r="F11" s="425"/>
      <c r="G11" s="425"/>
      <c r="H11" s="425"/>
      <c r="I11" s="425"/>
      <c r="J11" s="425"/>
      <c r="K11" s="425"/>
      <c r="L11" s="425"/>
      <c r="M11" s="425"/>
      <c r="N11" s="425"/>
      <c r="O11" s="425"/>
      <c r="P11" s="425"/>
      <c r="Q11" s="425"/>
      <c r="R11" s="425"/>
      <c r="S11" s="913"/>
    </row>
    <row r="12" spans="1:21">
      <c r="A12" s="912"/>
      <c r="B12" s="428" t="s">
        <v>932</v>
      </c>
      <c r="C12" s="425"/>
      <c r="D12" s="425"/>
      <c r="E12" s="425"/>
      <c r="F12" s="425"/>
      <c r="G12" s="425"/>
      <c r="H12" s="425"/>
      <c r="I12" s="425"/>
      <c r="J12" s="425"/>
      <c r="K12" s="425"/>
      <c r="L12" s="425"/>
      <c r="M12" s="425"/>
      <c r="N12" s="425"/>
      <c r="O12" s="425"/>
      <c r="P12" s="425"/>
      <c r="Q12" s="425"/>
      <c r="R12" s="425"/>
      <c r="S12" s="913"/>
    </row>
    <row r="13" spans="1:21">
      <c r="A13" s="912"/>
      <c r="B13" s="426"/>
      <c r="C13" s="425"/>
      <c r="D13" s="425"/>
      <c r="E13" s="425"/>
      <c r="F13" s="425"/>
      <c r="G13" s="425"/>
      <c r="H13" s="425"/>
      <c r="I13" s="425"/>
      <c r="J13" s="425"/>
      <c r="K13" s="425"/>
      <c r="L13" s="425"/>
      <c r="M13" s="425"/>
      <c r="N13" s="425"/>
      <c r="O13" s="425"/>
      <c r="P13" s="425"/>
      <c r="Q13" s="425"/>
      <c r="R13" s="425"/>
      <c r="S13" s="913"/>
    </row>
    <row r="14" spans="1:21">
      <c r="A14" s="912"/>
      <c r="B14" s="928" t="s">
        <v>933</v>
      </c>
      <c r="C14" s="425"/>
      <c r="D14" s="425"/>
      <c r="E14" s="425"/>
      <c r="F14" s="425"/>
      <c r="G14" s="425"/>
      <c r="H14" s="425"/>
      <c r="I14" s="425"/>
      <c r="J14" s="425"/>
      <c r="K14" s="425"/>
      <c r="L14" s="425"/>
      <c r="M14" s="425"/>
      <c r="N14" s="425"/>
      <c r="O14" s="425"/>
      <c r="P14" s="425"/>
      <c r="Q14" s="425"/>
      <c r="R14" s="425"/>
      <c r="S14" s="913"/>
    </row>
    <row r="15" spans="1:21">
      <c r="A15" s="912"/>
      <c r="B15" s="929" t="s">
        <v>934</v>
      </c>
      <c r="C15" s="425"/>
      <c r="D15" s="425"/>
      <c r="E15" s="425"/>
      <c r="F15" s="425"/>
      <c r="G15" s="425"/>
      <c r="H15" s="425"/>
      <c r="I15" s="425"/>
      <c r="J15" s="425"/>
      <c r="K15" s="425"/>
      <c r="L15" s="425"/>
      <c r="M15" s="425"/>
      <c r="N15" s="425"/>
      <c r="O15" s="425"/>
      <c r="P15" s="425"/>
      <c r="Q15" s="425"/>
      <c r="R15" s="425"/>
      <c r="S15" s="913"/>
    </row>
    <row r="16" spans="1:21" ht="12.75" customHeight="1">
      <c r="A16" s="912"/>
      <c r="B16" s="428" t="s">
        <v>935</v>
      </c>
      <c r="C16" s="425"/>
      <c r="D16" s="425"/>
      <c r="E16" s="425"/>
      <c r="F16" s="425"/>
      <c r="G16" s="425"/>
      <c r="H16" s="425"/>
      <c r="I16" s="425"/>
      <c r="J16" s="425"/>
      <c r="K16" s="425"/>
      <c r="L16" s="425"/>
      <c r="M16" s="425"/>
      <c r="N16" s="425"/>
      <c r="O16" s="425"/>
      <c r="P16" s="425"/>
      <c r="Q16" s="425"/>
      <c r="R16" s="425"/>
      <c r="S16" s="913"/>
    </row>
    <row r="17" spans="1:19">
      <c r="A17" s="912"/>
      <c r="B17" s="427" t="s">
        <v>936</v>
      </c>
      <c r="C17" s="425"/>
      <c r="D17" s="425"/>
      <c r="E17" s="425"/>
      <c r="F17" s="425"/>
      <c r="G17" s="425"/>
      <c r="H17" s="425"/>
      <c r="I17" s="425"/>
      <c r="J17" s="425"/>
      <c r="K17" s="425"/>
      <c r="L17" s="425"/>
      <c r="M17" s="425"/>
      <c r="N17" s="425"/>
      <c r="O17" s="425"/>
      <c r="P17" s="425"/>
      <c r="Q17" s="425"/>
      <c r="R17" s="425"/>
      <c r="S17" s="913"/>
    </row>
    <row r="18" spans="1:19">
      <c r="A18" s="912"/>
      <c r="B18" s="425" t="s">
        <v>937</v>
      </c>
      <c r="C18" s="425"/>
      <c r="D18" s="425"/>
      <c r="E18" s="425"/>
      <c r="F18" s="425"/>
      <c r="G18" s="425"/>
      <c r="H18" s="425"/>
      <c r="I18" s="425"/>
      <c r="J18" s="425"/>
      <c r="K18" s="425"/>
      <c r="L18" s="425"/>
      <c r="M18" s="425"/>
      <c r="N18" s="425"/>
      <c r="O18" s="425"/>
      <c r="P18" s="425"/>
      <c r="Q18" s="425"/>
      <c r="R18" s="425"/>
      <c r="S18" s="913"/>
    </row>
    <row r="19" spans="1:19">
      <c r="A19" s="912"/>
      <c r="B19" s="425"/>
      <c r="C19" s="425"/>
      <c r="D19" s="425"/>
      <c r="E19" s="425"/>
      <c r="F19" s="425"/>
      <c r="G19" s="425"/>
      <c r="H19" s="425"/>
      <c r="I19" s="425"/>
      <c r="J19" s="425"/>
      <c r="K19" s="425"/>
      <c r="L19" s="425"/>
      <c r="M19" s="425"/>
      <c r="N19" s="425"/>
      <c r="O19" s="425"/>
      <c r="P19" s="425"/>
      <c r="Q19" s="425"/>
      <c r="R19" s="425"/>
      <c r="S19" s="913"/>
    </row>
    <row r="20" spans="1:19">
      <c r="A20" s="912"/>
      <c r="B20" s="425"/>
      <c r="C20" s="425"/>
      <c r="D20" s="425"/>
      <c r="E20" s="425"/>
      <c r="F20" s="425"/>
      <c r="G20" s="425"/>
      <c r="H20" s="425"/>
      <c r="I20" s="425"/>
      <c r="J20" s="425"/>
      <c r="K20" s="425"/>
      <c r="L20" s="425"/>
      <c r="M20" s="425"/>
      <c r="N20" s="425"/>
      <c r="O20" s="425"/>
      <c r="P20" s="425"/>
      <c r="Q20" s="425"/>
      <c r="R20" s="425"/>
      <c r="S20" s="913"/>
    </row>
    <row r="21" spans="1:19">
      <c r="A21" s="912"/>
      <c r="B21" s="428"/>
      <c r="C21" s="425"/>
      <c r="D21" s="425"/>
      <c r="E21" s="425"/>
      <c r="F21" s="425"/>
      <c r="G21" s="425"/>
      <c r="H21" s="425"/>
      <c r="I21" s="425"/>
      <c r="J21" s="425"/>
      <c r="K21" s="425"/>
      <c r="L21" s="425"/>
      <c r="M21" s="425"/>
      <c r="N21" s="425"/>
      <c r="O21" s="425"/>
      <c r="P21" s="425"/>
      <c r="Q21" s="425"/>
      <c r="R21" s="425"/>
      <c r="S21" s="913"/>
    </row>
    <row r="22" spans="1:19">
      <c r="A22" s="912"/>
      <c r="B22" s="426"/>
      <c r="C22" s="425"/>
      <c r="D22" s="425"/>
      <c r="E22" s="425"/>
      <c r="F22" s="425"/>
      <c r="G22" s="425"/>
      <c r="H22" s="425"/>
      <c r="I22" s="425"/>
      <c r="J22" s="425"/>
      <c r="K22" s="425"/>
      <c r="L22" s="425"/>
      <c r="M22" s="425"/>
      <c r="N22" s="425"/>
      <c r="O22" s="425"/>
      <c r="P22" s="425"/>
      <c r="Q22" s="425"/>
      <c r="R22" s="425"/>
      <c r="S22" s="913"/>
    </row>
    <row r="23" spans="1:19">
      <c r="A23" s="428"/>
      <c r="B23" s="428"/>
      <c r="C23" s="425"/>
      <c r="D23" s="425"/>
      <c r="E23" s="425"/>
      <c r="F23" s="425"/>
      <c r="G23" s="425"/>
      <c r="H23" s="425"/>
      <c r="I23" s="425"/>
      <c r="J23" s="425"/>
      <c r="K23" s="425"/>
      <c r="L23" s="425"/>
      <c r="M23" s="425"/>
      <c r="N23" s="425"/>
      <c r="O23" s="425"/>
      <c r="P23" s="425"/>
      <c r="Q23" s="425"/>
      <c r="R23" s="425"/>
      <c r="S23" s="914"/>
    </row>
    <row r="24" spans="1:19">
      <c r="A24" s="428"/>
      <c r="B24" s="428"/>
      <c r="C24" s="425"/>
      <c r="D24" s="425"/>
      <c r="E24" s="425"/>
      <c r="F24" s="425"/>
      <c r="G24" s="425"/>
      <c r="H24" s="425"/>
      <c r="I24" s="425"/>
      <c r="J24" s="425"/>
      <c r="K24" s="425"/>
      <c r="L24" s="425"/>
      <c r="M24" s="425"/>
      <c r="N24" s="425"/>
      <c r="O24" s="425"/>
      <c r="P24" s="425"/>
      <c r="Q24" s="425"/>
      <c r="R24" s="425"/>
      <c r="S24" s="914"/>
    </row>
    <row r="25" spans="1:19">
      <c r="A25" s="428"/>
      <c r="B25" s="428"/>
      <c r="C25" s="428"/>
      <c r="D25" s="428"/>
      <c r="E25" s="428"/>
      <c r="F25" s="428"/>
      <c r="G25" s="428"/>
      <c r="H25" s="428"/>
      <c r="I25" s="428"/>
      <c r="J25" s="428"/>
      <c r="K25" s="428"/>
      <c r="L25" s="428"/>
      <c r="M25" s="428"/>
      <c r="N25" s="428"/>
      <c r="O25" s="428"/>
      <c r="P25" s="428"/>
      <c r="Q25" s="428"/>
      <c r="R25" s="428"/>
      <c r="S25" s="915"/>
    </row>
    <row r="26" spans="1:19">
      <c r="A26" s="428"/>
      <c r="B26" s="428"/>
      <c r="C26" s="428"/>
      <c r="D26" s="428"/>
      <c r="E26" s="428"/>
      <c r="F26" s="428"/>
      <c r="G26" s="428"/>
      <c r="H26" s="428"/>
      <c r="I26" s="428"/>
      <c r="J26" s="428"/>
      <c r="K26" s="428"/>
      <c r="L26" s="428"/>
      <c r="M26" s="428"/>
      <c r="N26" s="428"/>
      <c r="O26" s="428"/>
      <c r="P26" s="428"/>
      <c r="Q26" s="428"/>
      <c r="R26" s="428"/>
      <c r="S26" s="915"/>
    </row>
    <row r="27" spans="1:19">
      <c r="A27" s="428"/>
      <c r="B27" s="428"/>
      <c r="C27" s="428"/>
      <c r="D27" s="428"/>
      <c r="E27" s="428"/>
      <c r="F27" s="428"/>
      <c r="G27" s="428"/>
      <c r="H27" s="428"/>
      <c r="I27" s="428"/>
      <c r="J27" s="428"/>
      <c r="K27" s="428"/>
      <c r="L27" s="428"/>
      <c r="M27" s="428"/>
      <c r="N27" s="428"/>
      <c r="O27" s="428"/>
      <c r="P27" s="428"/>
      <c r="Q27" s="428"/>
      <c r="R27" s="428"/>
      <c r="S27" s="915"/>
    </row>
    <row r="28" spans="1:19">
      <c r="A28" s="428"/>
      <c r="B28" s="428"/>
      <c r="C28" s="428"/>
      <c r="D28" s="428"/>
      <c r="E28" s="428"/>
      <c r="F28" s="428"/>
      <c r="G28" s="428"/>
      <c r="H28" s="428"/>
      <c r="I28" s="428"/>
      <c r="J28" s="428"/>
      <c r="K28" s="428"/>
      <c r="L28" s="428"/>
      <c r="M28" s="428"/>
      <c r="N28" s="428"/>
      <c r="O28" s="428"/>
      <c r="P28" s="428"/>
      <c r="Q28" s="428"/>
      <c r="R28" s="428"/>
      <c r="S28" s="915"/>
    </row>
    <row r="29" spans="1:19">
      <c r="A29" s="428"/>
      <c r="B29" s="428"/>
      <c r="C29" s="428"/>
      <c r="D29" s="428"/>
      <c r="E29" s="428"/>
      <c r="F29" s="428"/>
      <c r="G29" s="428"/>
      <c r="H29" s="428"/>
      <c r="I29" s="428"/>
      <c r="J29" s="428"/>
      <c r="K29" s="428"/>
      <c r="L29" s="428"/>
      <c r="M29" s="428"/>
      <c r="N29" s="428"/>
      <c r="O29" s="428"/>
      <c r="P29" s="428"/>
      <c r="Q29" s="428"/>
      <c r="R29" s="428"/>
      <c r="S29" s="915"/>
    </row>
    <row r="30" spans="1:19">
      <c r="A30" s="428"/>
      <c r="B30" s="428"/>
      <c r="C30" s="428"/>
      <c r="D30" s="428"/>
      <c r="E30" s="428"/>
      <c r="F30" s="428"/>
      <c r="G30" s="428"/>
      <c r="H30" s="428"/>
      <c r="I30" s="428"/>
      <c r="J30" s="428"/>
      <c r="K30" s="428"/>
      <c r="L30" s="428"/>
      <c r="M30" s="428"/>
      <c r="N30" s="428"/>
      <c r="O30" s="428"/>
      <c r="P30" s="428"/>
      <c r="Q30" s="428"/>
      <c r="R30" s="428"/>
      <c r="S30" s="915"/>
    </row>
    <row r="31" spans="1:19">
      <c r="A31" s="912"/>
      <c r="B31" s="916"/>
      <c r="C31" s="916"/>
      <c r="D31" s="916"/>
      <c r="E31" s="916"/>
      <c r="F31" s="916"/>
      <c r="G31" s="916"/>
      <c r="H31" s="916"/>
      <c r="I31" s="916"/>
      <c r="J31" s="916"/>
      <c r="K31" s="916"/>
      <c r="L31" s="916"/>
      <c r="M31" s="916"/>
      <c r="N31" s="916"/>
      <c r="O31" s="916"/>
      <c r="P31" s="425"/>
      <c r="Q31" s="425"/>
      <c r="R31" s="425"/>
      <c r="S31" s="914"/>
    </row>
    <row r="32" spans="1:19">
      <c r="A32" s="912"/>
      <c r="B32" s="425"/>
      <c r="C32" s="425"/>
      <c r="D32" s="425"/>
      <c r="E32" s="425"/>
      <c r="F32" s="425"/>
      <c r="G32" s="425"/>
      <c r="H32" s="425"/>
      <c r="I32" s="425"/>
      <c r="J32" s="425"/>
      <c r="K32" s="425"/>
      <c r="L32" s="425"/>
      <c r="M32" s="425"/>
      <c r="N32" s="425"/>
      <c r="O32" s="425"/>
      <c r="P32" s="425"/>
      <c r="Q32" s="425"/>
      <c r="R32" s="425"/>
      <c r="S32" s="914"/>
    </row>
    <row r="33" spans="1:19">
      <c r="A33" s="912"/>
      <c r="B33" s="426"/>
      <c r="C33" s="425"/>
      <c r="D33" s="425"/>
      <c r="E33" s="425"/>
      <c r="F33" s="425"/>
      <c r="G33" s="425"/>
      <c r="H33" s="425"/>
      <c r="I33" s="425"/>
      <c r="J33" s="425"/>
      <c r="K33" s="425"/>
      <c r="L33" s="425"/>
      <c r="M33" s="425"/>
      <c r="N33" s="425"/>
      <c r="O33" s="425"/>
      <c r="P33" s="425"/>
      <c r="Q33" s="425"/>
      <c r="R33" s="425"/>
      <c r="S33" s="914"/>
    </row>
    <row r="34" spans="1:19">
      <c r="A34" s="912"/>
      <c r="B34" s="917"/>
      <c r="C34" s="425"/>
      <c r="D34" s="425"/>
      <c r="E34" s="425"/>
      <c r="F34" s="425"/>
      <c r="G34" s="425"/>
      <c r="H34" s="425"/>
      <c r="I34" s="425"/>
      <c r="J34" s="425"/>
      <c r="K34" s="425"/>
      <c r="L34" s="425"/>
      <c r="M34" s="425"/>
      <c r="N34" s="425"/>
      <c r="O34" s="425"/>
      <c r="P34" s="425"/>
      <c r="Q34" s="425"/>
      <c r="R34" s="425"/>
      <c r="S34" s="914"/>
    </row>
    <row r="35" spans="1:19">
      <c r="A35" s="428"/>
      <c r="B35" s="428"/>
      <c r="C35" s="425"/>
      <c r="D35" s="425"/>
      <c r="E35" s="425"/>
      <c r="F35" s="425"/>
      <c r="G35" s="425"/>
      <c r="H35" s="425"/>
      <c r="I35" s="425"/>
      <c r="J35" s="425"/>
      <c r="K35" s="425"/>
      <c r="L35" s="425"/>
      <c r="M35" s="425"/>
      <c r="N35" s="425"/>
      <c r="O35" s="425"/>
      <c r="P35" s="425"/>
      <c r="Q35" s="425"/>
      <c r="R35" s="425"/>
      <c r="S35" s="914"/>
    </row>
    <row r="36" spans="1:19">
      <c r="A36" s="912"/>
      <c r="B36" s="921"/>
      <c r="C36" s="918"/>
      <c r="D36" s="918"/>
      <c r="E36" s="425"/>
      <c r="F36" s="425"/>
      <c r="G36" s="425"/>
      <c r="H36" s="425"/>
      <c r="I36" s="425"/>
      <c r="J36" s="425"/>
      <c r="K36" s="425"/>
      <c r="L36" s="425"/>
      <c r="M36" s="425"/>
      <c r="N36" s="425"/>
      <c r="O36" s="425"/>
      <c r="P36" s="425"/>
      <c r="Q36" s="425"/>
      <c r="R36" s="425"/>
      <c r="S36" s="914"/>
    </row>
    <row r="37" spans="1:19">
      <c r="A37" s="912"/>
      <c r="B37" s="921"/>
      <c r="C37" s="918"/>
      <c r="D37" s="918"/>
      <c r="E37" s="918"/>
      <c r="F37" s="918"/>
      <c r="G37" s="918"/>
      <c r="H37" s="425"/>
      <c r="I37" s="425"/>
      <c r="J37" s="425"/>
      <c r="K37" s="425"/>
      <c r="L37" s="425"/>
      <c r="M37" s="425"/>
      <c r="N37" s="425"/>
      <c r="O37" s="425"/>
      <c r="P37" s="425"/>
      <c r="Q37" s="425"/>
      <c r="R37" s="425"/>
      <c r="S37" s="914"/>
    </row>
    <row r="38" spans="1:19">
      <c r="A38" s="912"/>
      <c r="B38" s="425"/>
      <c r="C38" s="425"/>
      <c r="D38" s="425"/>
      <c r="E38" s="425"/>
      <c r="F38" s="425"/>
      <c r="G38" s="425"/>
      <c r="H38" s="425"/>
      <c r="I38" s="425"/>
      <c r="J38" s="425"/>
      <c r="K38" s="425"/>
      <c r="L38" s="425"/>
      <c r="M38" s="425"/>
      <c r="N38" s="425"/>
      <c r="O38" s="425"/>
      <c r="P38" s="425"/>
      <c r="Q38" s="425"/>
      <c r="R38" s="425"/>
      <c r="S38" s="913"/>
    </row>
    <row r="39" spans="1:19" ht="12.75" customHeight="1">
      <c r="A39" s="925"/>
      <c r="B39" s="1549"/>
      <c r="C39" s="1550"/>
      <c r="D39" s="1550"/>
      <c r="E39" s="1550"/>
      <c r="F39" s="1550"/>
      <c r="G39" s="1550"/>
      <c r="H39" s="1550"/>
      <c r="I39" s="1550"/>
      <c r="J39" s="1550"/>
      <c r="K39" s="1550"/>
      <c r="L39" s="1550"/>
      <c r="M39" s="1550"/>
      <c r="N39" s="1550"/>
      <c r="O39" s="1550"/>
      <c r="P39" s="1550"/>
      <c r="Q39" s="1550"/>
      <c r="R39" s="1550"/>
      <c r="S39" s="913"/>
    </row>
    <row r="40" spans="1:19">
      <c r="A40" s="912"/>
      <c r="B40" s="425"/>
      <c r="C40" s="425"/>
      <c r="D40" s="425"/>
      <c r="E40" s="425"/>
      <c r="F40" s="425"/>
      <c r="G40" s="425"/>
      <c r="H40" s="425"/>
      <c r="I40" s="425"/>
      <c r="J40" s="425"/>
      <c r="K40" s="425"/>
      <c r="L40" s="425"/>
      <c r="M40" s="425"/>
      <c r="N40" s="425"/>
      <c r="O40" s="425"/>
      <c r="P40" s="425"/>
      <c r="Q40" s="425"/>
      <c r="R40" s="425"/>
      <c r="S40" s="913"/>
    </row>
    <row r="41" spans="1:19">
      <c r="A41" s="912"/>
      <c r="B41" s="425"/>
      <c r="C41" s="425"/>
      <c r="D41" s="425"/>
      <c r="E41" s="425"/>
      <c r="F41" s="425"/>
      <c r="G41" s="425"/>
      <c r="H41" s="425"/>
      <c r="I41" s="425"/>
      <c r="J41" s="425"/>
      <c r="K41" s="425"/>
      <c r="L41" s="425"/>
      <c r="M41" s="425"/>
      <c r="N41" s="425"/>
      <c r="O41" s="425"/>
      <c r="P41" s="425"/>
      <c r="Q41" s="425"/>
      <c r="R41" s="425"/>
      <c r="S41" s="913"/>
    </row>
    <row r="42" spans="1:19">
      <c r="A42" s="912"/>
      <c r="B42" s="425"/>
      <c r="C42" s="425"/>
      <c r="D42" s="425"/>
      <c r="E42" s="425"/>
      <c r="F42" s="425"/>
      <c r="G42" s="425"/>
      <c r="H42" s="425"/>
      <c r="I42" s="425"/>
      <c r="J42" s="425"/>
      <c r="K42" s="425"/>
      <c r="L42" s="425"/>
      <c r="M42" s="425"/>
      <c r="N42" s="425"/>
      <c r="O42" s="425"/>
      <c r="P42" s="425"/>
      <c r="Q42" s="425"/>
      <c r="R42" s="425"/>
      <c r="S42" s="913"/>
    </row>
    <row r="43" spans="1:19">
      <c r="A43" s="912"/>
      <c r="B43" s="425"/>
      <c r="C43" s="425"/>
      <c r="D43" s="425"/>
      <c r="E43" s="425"/>
      <c r="F43" s="425"/>
      <c r="G43" s="425"/>
      <c r="H43" s="425"/>
      <c r="I43" s="425"/>
      <c r="J43" s="425"/>
      <c r="K43" s="425"/>
      <c r="L43" s="425"/>
      <c r="M43" s="425"/>
      <c r="N43" s="425"/>
      <c r="O43" s="425"/>
      <c r="P43" s="425"/>
      <c r="Q43" s="425"/>
      <c r="R43" s="425"/>
      <c r="S43" s="913"/>
    </row>
    <row r="44" spans="1:19">
      <c r="A44" s="912"/>
      <c r="B44" s="425"/>
      <c r="C44" s="425"/>
      <c r="D44" s="425"/>
      <c r="E44" s="425"/>
      <c r="F44" s="425"/>
      <c r="G44" s="425"/>
      <c r="H44" s="425"/>
      <c r="I44" s="425"/>
      <c r="J44" s="425"/>
      <c r="K44" s="425"/>
      <c r="L44" s="425"/>
      <c r="M44" s="425"/>
      <c r="N44" s="425"/>
      <c r="O44" s="425"/>
      <c r="P44" s="425"/>
      <c r="Q44" s="425"/>
      <c r="R44" s="425"/>
      <c r="S44" s="913"/>
    </row>
    <row r="45" spans="1:19">
      <c r="A45" s="912"/>
      <c r="B45" s="425"/>
      <c r="C45" s="425"/>
      <c r="D45" s="425"/>
      <c r="E45" s="425"/>
      <c r="F45" s="425"/>
      <c r="G45" s="425"/>
      <c r="H45" s="425"/>
      <c r="I45" s="425"/>
      <c r="J45" s="425"/>
      <c r="K45" s="425"/>
      <c r="L45" s="425"/>
      <c r="M45" s="425"/>
      <c r="N45" s="425"/>
      <c r="O45" s="425"/>
      <c r="P45" s="425"/>
      <c r="Q45" s="425"/>
      <c r="R45" s="425"/>
      <c r="S45" s="913"/>
    </row>
    <row r="46" spans="1:19">
      <c r="A46" s="912"/>
      <c r="B46" s="425"/>
      <c r="C46" s="425"/>
      <c r="D46" s="425"/>
      <c r="E46" s="425"/>
      <c r="F46" s="425"/>
      <c r="G46" s="425"/>
      <c r="H46" s="425"/>
      <c r="I46" s="425"/>
      <c r="J46" s="425"/>
      <c r="K46" s="425"/>
      <c r="L46" s="425"/>
      <c r="M46" s="425"/>
      <c r="N46" s="425"/>
      <c r="O46" s="425"/>
      <c r="P46" s="425"/>
      <c r="Q46" s="425"/>
      <c r="R46" s="425"/>
      <c r="S46" s="913"/>
    </row>
    <row r="47" spans="1:19">
      <c r="A47" s="912"/>
      <c r="B47" s="425"/>
      <c r="C47" s="425"/>
      <c r="D47" s="425"/>
      <c r="E47" s="425"/>
      <c r="F47" s="425"/>
      <c r="G47" s="425"/>
      <c r="H47" s="425"/>
      <c r="I47" s="425"/>
      <c r="J47" s="425"/>
      <c r="K47" s="425"/>
      <c r="L47" s="425"/>
      <c r="M47" s="425"/>
      <c r="N47" s="425"/>
      <c r="O47" s="425"/>
      <c r="P47" s="425"/>
      <c r="Q47" s="425"/>
      <c r="R47" s="425"/>
      <c r="S47" s="913"/>
    </row>
    <row r="48" spans="1:19">
      <c r="A48" s="912"/>
      <c r="B48" s="425"/>
      <c r="C48" s="425"/>
      <c r="D48" s="425"/>
      <c r="E48" s="425"/>
      <c r="F48" s="425"/>
      <c r="G48" s="425"/>
      <c r="H48" s="425"/>
      <c r="I48" s="425"/>
      <c r="J48" s="425"/>
      <c r="K48" s="425"/>
      <c r="L48" s="425"/>
      <c r="M48" s="425"/>
      <c r="N48" s="425"/>
      <c r="O48" s="425"/>
      <c r="P48" s="425"/>
      <c r="Q48" s="425"/>
      <c r="R48" s="425"/>
      <c r="S48" s="913"/>
    </row>
    <row r="49" spans="1:19">
      <c r="A49" s="912"/>
      <c r="B49" s="425"/>
      <c r="C49" s="425"/>
      <c r="D49" s="425"/>
      <c r="E49" s="425"/>
      <c r="F49" s="425"/>
      <c r="G49" s="425"/>
      <c r="H49" s="425"/>
      <c r="I49" s="425"/>
      <c r="J49" s="425"/>
      <c r="K49" s="425"/>
      <c r="L49" s="425"/>
      <c r="M49" s="425"/>
      <c r="N49" s="425"/>
      <c r="O49" s="425"/>
      <c r="P49" s="425"/>
      <c r="Q49" s="425"/>
      <c r="R49" s="425"/>
      <c r="S49" s="913"/>
    </row>
    <row r="50" spans="1:19">
      <c r="A50" s="912"/>
      <c r="B50" s="425"/>
      <c r="C50" s="425"/>
      <c r="D50" s="425"/>
      <c r="E50" s="425"/>
      <c r="F50" s="425"/>
      <c r="G50" s="425"/>
      <c r="H50" s="425"/>
      <c r="I50" s="425"/>
      <c r="J50" s="425"/>
      <c r="K50" s="425"/>
      <c r="L50" s="425"/>
      <c r="M50" s="425"/>
      <c r="N50" s="425"/>
      <c r="O50" s="425"/>
      <c r="P50" s="425"/>
      <c r="Q50" s="425"/>
      <c r="R50" s="425"/>
      <c r="S50" s="913"/>
    </row>
    <row r="51" spans="1:19">
      <c r="A51" s="912"/>
      <c r="B51" s="425"/>
      <c r="C51" s="425"/>
      <c r="D51" s="425"/>
      <c r="E51" s="425"/>
      <c r="F51" s="425"/>
      <c r="G51" s="425"/>
      <c r="H51" s="425"/>
      <c r="I51" s="425"/>
      <c r="J51" s="425"/>
      <c r="K51" s="425"/>
      <c r="L51" s="425"/>
      <c r="M51" s="425"/>
      <c r="N51" s="425"/>
      <c r="O51" s="425"/>
      <c r="P51" s="425"/>
      <c r="Q51" s="425"/>
      <c r="R51" s="425"/>
      <c r="S51" s="913"/>
    </row>
    <row r="52" spans="1:19">
      <c r="A52" s="425"/>
      <c r="B52" s="425"/>
      <c r="C52" s="425"/>
      <c r="D52" s="425"/>
      <c r="E52" s="425"/>
      <c r="F52" s="425"/>
      <c r="G52" s="425"/>
      <c r="H52" s="425"/>
      <c r="I52" s="425"/>
      <c r="J52" s="425"/>
      <c r="K52" s="425"/>
      <c r="L52" s="425"/>
      <c r="M52" s="425"/>
      <c r="N52" s="425"/>
      <c r="O52" s="425"/>
      <c r="P52" s="425"/>
      <c r="Q52" s="425"/>
      <c r="R52" s="425"/>
      <c r="S52" s="425"/>
    </row>
    <row r="53" spans="1:19">
      <c r="A53" s="425"/>
      <c r="B53" s="425"/>
      <c r="C53" s="425"/>
      <c r="D53" s="425"/>
      <c r="E53" s="425"/>
      <c r="F53" s="425"/>
      <c r="G53" s="425"/>
      <c r="H53" s="425"/>
      <c r="I53" s="425"/>
      <c r="J53" s="425"/>
      <c r="K53" s="425"/>
      <c r="L53" s="425"/>
      <c r="M53" s="425"/>
      <c r="N53" s="425"/>
      <c r="O53" s="425"/>
      <c r="P53" s="425"/>
      <c r="Q53" s="425"/>
      <c r="R53" s="425"/>
      <c r="S53" s="425"/>
    </row>
    <row r="54" spans="1:19">
      <c r="A54" s="323"/>
      <c r="B54" s="323"/>
      <c r="C54" s="323"/>
      <c r="D54" s="323"/>
      <c r="E54" s="323"/>
      <c r="F54" s="323"/>
      <c r="G54" s="323"/>
      <c r="H54" s="323"/>
      <c r="I54" s="323"/>
      <c r="J54" s="323"/>
      <c r="K54" s="323"/>
      <c r="L54" s="323"/>
      <c r="M54" s="323"/>
      <c r="N54" s="323"/>
      <c r="O54" s="323"/>
      <c r="P54" s="323"/>
      <c r="Q54" s="323"/>
      <c r="R54" s="323"/>
      <c r="S54" s="323"/>
    </row>
    <row r="55" spans="1:19">
      <c r="A55" s="322"/>
      <c r="B55" s="323"/>
      <c r="C55" s="323"/>
      <c r="D55" s="323"/>
      <c r="E55" s="323"/>
      <c r="F55" s="323"/>
      <c r="G55" s="323"/>
      <c r="H55" s="323"/>
      <c r="I55" s="323"/>
      <c r="J55" s="323"/>
      <c r="K55" s="323"/>
      <c r="L55" s="323"/>
      <c r="M55" s="323"/>
      <c r="N55" s="323"/>
      <c r="O55" s="323"/>
      <c r="P55" s="323"/>
      <c r="Q55" s="323"/>
      <c r="R55" s="923" t="s">
        <v>757</v>
      </c>
      <c r="S55" s="323"/>
    </row>
    <row r="56" spans="1:19">
      <c r="A56" s="330"/>
      <c r="B56" s="331"/>
      <c r="C56" s="331"/>
      <c r="D56" s="331"/>
      <c r="E56" s="331"/>
      <c r="F56" s="331"/>
      <c r="G56" s="331"/>
      <c r="H56" s="331"/>
      <c r="I56" s="331"/>
      <c r="J56" s="331"/>
      <c r="K56" s="331"/>
      <c r="L56" s="331"/>
      <c r="M56" s="331"/>
      <c r="N56" s="331"/>
      <c r="O56" s="331"/>
      <c r="P56" s="331"/>
      <c r="Q56" s="331"/>
      <c r="R56" s="331"/>
      <c r="S56" s="331"/>
    </row>
  </sheetData>
  <sheetProtection algorithmName="SHA-512" hashValue="GQl/kHur4Lq/0L3L3RWhbPrdShzsQesdielDfXDkOjMJ1WDoEdvxX/LKabDh/pBAjMiGxr8rW0Oh07T9yh+1lA==" saltValue="yWJg8w5sLE/TOHVuiQfMog==" spinCount="100000" sheet="1" scenarios="1" insertHyperlinks="0"/>
  <mergeCells count="2">
    <mergeCell ref="A1:S1"/>
    <mergeCell ref="B39:R39"/>
  </mergeCells>
  <hyperlinks>
    <hyperlink ref="R55" location="'EV5 Acc. Stack Construction'!A1" display="back" xr:uid="{904C866E-8C80-428B-B22C-77E4B8F402A2}"/>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16CB5-96A9-4E89-8354-86458793D3AD}">
  <sheetPr codeName="Tabelle10">
    <pageSetUpPr fitToPage="1"/>
  </sheetPr>
  <dimension ref="A1:U56"/>
  <sheetViews>
    <sheetView showGridLines="0" view="pageBreakPreview" zoomScaleNormal="100" zoomScaleSheetLayoutView="100" workbookViewId="0">
      <selection sqref="A1:S1"/>
    </sheetView>
  </sheetViews>
  <sheetFormatPr baseColWidth="10" defaultColWidth="11.46484375" defaultRowHeight="12.75"/>
  <cols>
    <col min="1" max="27" width="5" style="908" customWidth="1"/>
    <col min="28" max="28" width="6.1328125" style="908" customWidth="1"/>
    <col min="29" max="38" width="5" style="908" customWidth="1"/>
    <col min="39" max="16384" width="11.46484375" style="908"/>
  </cols>
  <sheetData>
    <row r="1" spans="1:21" ht="12.75" customHeight="1">
      <c r="A1" s="1546" t="s">
        <v>938</v>
      </c>
      <c r="B1" s="1546"/>
      <c r="C1" s="1546"/>
      <c r="D1" s="1546"/>
      <c r="E1" s="1546"/>
      <c r="F1" s="1546"/>
      <c r="G1" s="1546"/>
      <c r="H1" s="1546"/>
      <c r="I1" s="1546"/>
      <c r="J1" s="1546"/>
      <c r="K1" s="1546"/>
      <c r="L1" s="1546"/>
      <c r="M1" s="1546"/>
      <c r="N1" s="1546"/>
      <c r="O1" s="1546"/>
      <c r="P1" s="1546"/>
      <c r="Q1" s="1546"/>
      <c r="R1" s="1546"/>
      <c r="S1" s="1546"/>
    </row>
    <row r="2" spans="1:21" ht="12.75" customHeight="1">
      <c r="A2" s="909"/>
      <c r="B2" s="910"/>
      <c r="C2" s="910"/>
      <c r="D2" s="910"/>
      <c r="E2" s="910"/>
      <c r="F2" s="910"/>
      <c r="G2" s="910"/>
      <c r="H2" s="910"/>
      <c r="I2" s="910"/>
      <c r="J2" s="910"/>
      <c r="K2" s="910"/>
      <c r="L2" s="910"/>
      <c r="M2" s="910"/>
      <c r="N2" s="910"/>
      <c r="O2" s="910"/>
      <c r="P2" s="910"/>
      <c r="Q2" s="910"/>
      <c r="R2" s="910"/>
      <c r="S2" s="911"/>
      <c r="U2" s="194"/>
    </row>
    <row r="3" spans="1:21" ht="12.75" customHeight="1">
      <c r="A3" s="912"/>
      <c r="B3" s="194" t="s">
        <v>939</v>
      </c>
      <c r="C3" s="425"/>
      <c r="D3" s="425"/>
      <c r="E3" s="425"/>
      <c r="F3" s="425"/>
      <c r="G3" s="425"/>
      <c r="H3" s="425"/>
      <c r="I3" s="425"/>
      <c r="J3" s="425"/>
      <c r="K3" s="425"/>
      <c r="L3" s="425"/>
      <c r="M3" s="425"/>
      <c r="N3" s="425"/>
      <c r="O3" s="425"/>
      <c r="P3" s="425"/>
      <c r="Q3" s="425"/>
      <c r="R3" s="425"/>
      <c r="S3" s="913"/>
    </row>
    <row r="4" spans="1:21" ht="12.75" customHeight="1">
      <c r="A4" s="425"/>
      <c r="B4" s="425" t="s">
        <v>940</v>
      </c>
      <c r="C4" s="425"/>
      <c r="D4" s="425"/>
      <c r="E4" s="425"/>
      <c r="F4" s="425"/>
      <c r="G4" s="425"/>
      <c r="H4" s="425"/>
      <c r="I4" s="425"/>
      <c r="J4" s="425"/>
      <c r="K4" s="425"/>
      <c r="L4" s="425"/>
      <c r="M4" s="425"/>
      <c r="N4" s="425"/>
      <c r="O4" s="425"/>
      <c r="P4" s="425"/>
      <c r="Q4" s="425"/>
      <c r="R4" s="425"/>
      <c r="S4" s="913"/>
      <c r="U4" s="194"/>
    </row>
    <row r="5" spans="1:21" ht="12.75" customHeight="1">
      <c r="A5" s="912"/>
      <c r="B5" s="425" t="s">
        <v>941</v>
      </c>
      <c r="C5" s="425"/>
      <c r="D5" s="425"/>
      <c r="E5" s="425"/>
      <c r="F5" s="425"/>
      <c r="G5" s="425"/>
      <c r="H5" s="425"/>
      <c r="I5" s="425"/>
      <c r="J5" s="425"/>
      <c r="K5" s="425"/>
      <c r="L5" s="425"/>
      <c r="M5" s="425"/>
      <c r="N5" s="425"/>
      <c r="O5" s="425"/>
      <c r="P5" s="425"/>
      <c r="Q5" s="425"/>
      <c r="R5" s="425"/>
      <c r="S5" s="913"/>
    </row>
    <row r="6" spans="1:21" ht="12.75" customHeight="1">
      <c r="A6" s="912"/>
      <c r="B6" s="425"/>
      <c r="C6" s="425"/>
      <c r="D6" s="425"/>
      <c r="E6" s="425"/>
      <c r="F6" s="425"/>
      <c r="G6" s="425"/>
      <c r="H6" s="425"/>
      <c r="I6" s="425"/>
      <c r="J6" s="425"/>
      <c r="K6" s="425"/>
      <c r="L6" s="425"/>
      <c r="M6" s="425"/>
      <c r="N6" s="425"/>
      <c r="O6" s="425"/>
      <c r="P6" s="425"/>
      <c r="Q6" s="425"/>
      <c r="R6" s="425"/>
      <c r="S6" s="913"/>
    </row>
    <row r="7" spans="1:21" ht="12.75" customHeight="1">
      <c r="A7" s="912"/>
      <c r="B7" s="425" t="s">
        <v>942</v>
      </c>
      <c r="C7" s="425"/>
      <c r="D7" s="425"/>
      <c r="E7" s="425"/>
      <c r="F7" s="425"/>
      <c r="G7" s="425"/>
      <c r="H7" s="425"/>
      <c r="I7" s="425"/>
      <c r="J7" s="425"/>
      <c r="K7" s="425"/>
      <c r="L7" s="425"/>
      <c r="M7" s="425"/>
      <c r="N7" s="425"/>
      <c r="O7" s="425"/>
      <c r="P7" s="425"/>
      <c r="Q7" s="425"/>
      <c r="R7" s="425"/>
      <c r="S7" s="913"/>
    </row>
    <row r="8" spans="1:21" ht="12.75" customHeight="1">
      <c r="A8" s="912"/>
      <c r="B8" s="425"/>
      <c r="C8" s="425"/>
      <c r="D8" s="425"/>
      <c r="E8" s="425"/>
      <c r="F8" s="425"/>
      <c r="G8" s="425"/>
      <c r="H8" s="425"/>
      <c r="I8" s="425"/>
      <c r="J8" s="425"/>
      <c r="K8" s="425"/>
      <c r="L8" s="425"/>
      <c r="M8" s="425"/>
      <c r="N8" s="425"/>
      <c r="O8" s="425"/>
      <c r="P8" s="425"/>
      <c r="Q8" s="425"/>
      <c r="R8" s="425"/>
      <c r="S8" s="913"/>
    </row>
    <row r="9" spans="1:21" ht="12.75" customHeight="1">
      <c r="A9" s="912"/>
      <c r="B9" s="425"/>
      <c r="C9" s="425"/>
      <c r="D9" s="425"/>
      <c r="E9" s="425"/>
      <c r="F9" s="425"/>
      <c r="G9" s="425"/>
      <c r="H9" s="425"/>
      <c r="I9" s="425"/>
      <c r="J9" s="425"/>
      <c r="K9" s="425"/>
      <c r="L9" s="425"/>
      <c r="M9" s="425"/>
      <c r="N9" s="425"/>
      <c r="O9" s="425"/>
      <c r="P9" s="425"/>
      <c r="Q9" s="425"/>
      <c r="R9" s="425"/>
      <c r="S9" s="913"/>
    </row>
    <row r="10" spans="1:21" ht="12.75" customHeight="1">
      <c r="A10" s="912"/>
      <c r="B10" s="425"/>
      <c r="C10" s="425"/>
      <c r="D10" s="425"/>
      <c r="E10" s="425"/>
      <c r="F10" s="425"/>
      <c r="G10" s="425"/>
      <c r="H10" s="425"/>
      <c r="I10" s="425"/>
      <c r="J10" s="425"/>
      <c r="K10" s="425"/>
      <c r="L10" s="425"/>
      <c r="M10" s="425"/>
      <c r="N10" s="425"/>
      <c r="O10" s="425"/>
      <c r="P10" s="425"/>
      <c r="Q10" s="425"/>
      <c r="R10" s="425"/>
      <c r="S10" s="913"/>
    </row>
    <row r="11" spans="1:21" ht="12.75" customHeight="1">
      <c r="A11" s="912"/>
      <c r="B11" s="425"/>
      <c r="C11" s="425"/>
      <c r="D11" s="425"/>
      <c r="E11" s="425"/>
      <c r="F11" s="425"/>
      <c r="G11" s="425"/>
      <c r="H11" s="425"/>
      <c r="I11" s="425"/>
      <c r="J11" s="425"/>
      <c r="K11" s="425"/>
      <c r="L11" s="425"/>
      <c r="M11" s="425"/>
      <c r="N11" s="425"/>
      <c r="O11" s="425"/>
      <c r="P11" s="425"/>
      <c r="Q11" s="425"/>
      <c r="R11" s="425"/>
      <c r="S11" s="913"/>
    </row>
    <row r="12" spans="1:21" ht="12.75" customHeight="1">
      <c r="A12" s="912"/>
      <c r="B12" s="428"/>
      <c r="C12" s="425"/>
      <c r="D12" s="425"/>
      <c r="E12" s="425"/>
      <c r="F12" s="425"/>
      <c r="G12" s="425"/>
      <c r="H12" s="425"/>
      <c r="I12" s="425"/>
      <c r="J12" s="425"/>
      <c r="K12" s="425"/>
      <c r="L12" s="425"/>
      <c r="M12" s="425"/>
      <c r="N12" s="425"/>
      <c r="O12" s="425"/>
      <c r="P12" s="425"/>
      <c r="Q12" s="425"/>
      <c r="R12" s="425"/>
      <c r="S12" s="913"/>
    </row>
    <row r="13" spans="1:21" ht="12.75" customHeight="1">
      <c r="A13" s="912"/>
      <c r="B13" s="426"/>
      <c r="C13" s="425"/>
      <c r="D13" s="425"/>
      <c r="E13" s="425"/>
      <c r="F13" s="425"/>
      <c r="G13" s="425"/>
      <c r="H13" s="425"/>
      <c r="I13" s="425"/>
      <c r="J13" s="425"/>
      <c r="K13" s="425"/>
      <c r="L13" s="425"/>
      <c r="M13" s="425"/>
      <c r="N13" s="425"/>
      <c r="O13" s="425"/>
      <c r="P13" s="425"/>
      <c r="Q13" s="425"/>
      <c r="R13" s="425"/>
      <c r="S13" s="913"/>
    </row>
    <row r="14" spans="1:21" ht="12.75" customHeight="1">
      <c r="A14" s="912"/>
      <c r="B14" s="426"/>
      <c r="C14" s="425"/>
      <c r="D14" s="425"/>
      <c r="E14" s="425"/>
      <c r="F14" s="425"/>
      <c r="G14" s="425"/>
      <c r="H14" s="425"/>
      <c r="I14" s="425"/>
      <c r="J14" s="425"/>
      <c r="K14" s="425"/>
      <c r="L14" s="425"/>
      <c r="M14" s="425"/>
      <c r="N14" s="425"/>
      <c r="O14" s="425"/>
      <c r="P14" s="425"/>
      <c r="Q14" s="425"/>
      <c r="R14" s="425"/>
      <c r="S14" s="913"/>
    </row>
    <row r="15" spans="1:21" ht="12.75" customHeight="1">
      <c r="A15" s="912"/>
      <c r="B15" s="427"/>
      <c r="C15" s="425"/>
      <c r="D15" s="425"/>
      <c r="E15" s="425"/>
      <c r="F15" s="425"/>
      <c r="G15" s="425"/>
      <c r="H15" s="425"/>
      <c r="I15" s="425"/>
      <c r="J15" s="425"/>
      <c r="K15" s="425"/>
      <c r="L15" s="425"/>
      <c r="M15" s="425"/>
      <c r="N15" s="425"/>
      <c r="O15" s="425"/>
      <c r="P15" s="425"/>
      <c r="Q15" s="425"/>
      <c r="R15" s="425"/>
      <c r="S15" s="913"/>
    </row>
    <row r="16" spans="1:21" ht="12.75" customHeight="1">
      <c r="A16" s="912"/>
      <c r="B16" s="428"/>
      <c r="C16" s="425"/>
      <c r="D16" s="425"/>
      <c r="E16" s="425"/>
      <c r="F16" s="425"/>
      <c r="G16" s="425"/>
      <c r="H16" s="425"/>
      <c r="I16" s="425"/>
      <c r="J16" s="425"/>
      <c r="K16" s="425"/>
      <c r="L16" s="425"/>
      <c r="M16" s="425"/>
      <c r="N16" s="425"/>
      <c r="O16" s="425"/>
      <c r="P16" s="425"/>
      <c r="Q16" s="425"/>
      <c r="R16" s="425"/>
      <c r="S16" s="913"/>
    </row>
    <row r="17" spans="1:19" ht="12.75" customHeight="1">
      <c r="A17" s="912"/>
      <c r="B17" s="427"/>
      <c r="C17" s="425"/>
      <c r="D17" s="425"/>
      <c r="E17" s="425"/>
      <c r="F17" s="425"/>
      <c r="G17" s="425"/>
      <c r="H17" s="425"/>
      <c r="I17" s="425"/>
      <c r="J17" s="425"/>
      <c r="K17" s="425"/>
      <c r="L17" s="425"/>
      <c r="M17" s="425"/>
      <c r="N17" s="425"/>
      <c r="O17" s="425"/>
      <c r="P17" s="425"/>
      <c r="Q17" s="425"/>
      <c r="R17" s="425"/>
      <c r="S17" s="913"/>
    </row>
    <row r="18" spans="1:19" ht="12.75" customHeight="1">
      <c r="A18" s="912"/>
      <c r="B18" s="425"/>
      <c r="C18" s="425"/>
      <c r="D18" s="425"/>
      <c r="E18" s="425"/>
      <c r="F18" s="425"/>
      <c r="G18" s="425"/>
      <c r="H18" s="425"/>
      <c r="I18" s="425"/>
      <c r="J18" s="425"/>
      <c r="K18" s="425"/>
      <c r="L18" s="425"/>
      <c r="M18" s="425"/>
      <c r="N18" s="425"/>
      <c r="O18" s="425"/>
      <c r="P18" s="425"/>
      <c r="Q18" s="425"/>
      <c r="R18" s="425"/>
      <c r="S18" s="913"/>
    </row>
    <row r="19" spans="1:19" ht="12.75" customHeight="1">
      <c r="A19" s="912"/>
      <c r="B19" s="425"/>
      <c r="C19" s="425"/>
      <c r="D19" s="425"/>
      <c r="E19" s="425"/>
      <c r="F19" s="425"/>
      <c r="G19" s="425"/>
      <c r="H19" s="425"/>
      <c r="I19" s="425"/>
      <c r="J19" s="425"/>
      <c r="K19" s="425"/>
      <c r="L19" s="425"/>
      <c r="M19" s="425"/>
      <c r="N19" s="425"/>
      <c r="O19" s="425"/>
      <c r="P19" s="425"/>
      <c r="Q19" s="425"/>
      <c r="R19" s="425"/>
      <c r="S19" s="913"/>
    </row>
    <row r="20" spans="1:19" ht="12.75" customHeight="1">
      <c r="A20" s="912"/>
      <c r="B20" s="425"/>
      <c r="C20" s="425"/>
      <c r="D20" s="425"/>
      <c r="E20" s="425"/>
      <c r="F20" s="425"/>
      <c r="G20" s="425"/>
      <c r="H20" s="425"/>
      <c r="I20" s="425"/>
      <c r="J20" s="425"/>
      <c r="K20" s="425"/>
      <c r="L20" s="425"/>
      <c r="M20" s="425"/>
      <c r="N20" s="425"/>
      <c r="O20" s="425"/>
      <c r="P20" s="425"/>
      <c r="Q20" s="425"/>
      <c r="R20" s="425"/>
      <c r="S20" s="913"/>
    </row>
    <row r="21" spans="1:19" ht="12.75" customHeight="1">
      <c r="A21" s="912"/>
      <c r="B21" s="428"/>
      <c r="C21" s="425"/>
      <c r="D21" s="425"/>
      <c r="E21" s="425"/>
      <c r="F21" s="425"/>
      <c r="G21" s="425"/>
      <c r="H21" s="425"/>
      <c r="I21" s="425"/>
      <c r="J21" s="425"/>
      <c r="K21" s="425"/>
      <c r="L21" s="425"/>
      <c r="M21" s="425"/>
      <c r="N21" s="425"/>
      <c r="O21" s="425"/>
      <c r="P21" s="425"/>
      <c r="Q21" s="425"/>
      <c r="R21" s="425"/>
      <c r="S21" s="913"/>
    </row>
    <row r="22" spans="1:19" ht="12.75" customHeight="1">
      <c r="A22" s="912"/>
      <c r="B22" s="426"/>
      <c r="C22" s="425"/>
      <c r="D22" s="425"/>
      <c r="E22" s="425"/>
      <c r="F22" s="425"/>
      <c r="G22" s="425"/>
      <c r="H22" s="425"/>
      <c r="I22" s="425"/>
      <c r="J22" s="425"/>
      <c r="K22" s="425"/>
      <c r="L22" s="425"/>
      <c r="M22" s="425"/>
      <c r="N22" s="425"/>
      <c r="O22" s="425"/>
      <c r="P22" s="425"/>
      <c r="Q22" s="425"/>
      <c r="R22" s="425"/>
      <c r="S22" s="913"/>
    </row>
    <row r="23" spans="1:19" ht="12.75" customHeight="1">
      <c r="A23" s="428"/>
      <c r="B23" s="428"/>
      <c r="C23" s="425"/>
      <c r="D23" s="425"/>
      <c r="E23" s="425"/>
      <c r="F23" s="425"/>
      <c r="G23" s="425"/>
      <c r="H23" s="425"/>
      <c r="I23" s="425"/>
      <c r="J23" s="425"/>
      <c r="K23" s="425"/>
      <c r="L23" s="425"/>
      <c r="M23" s="425"/>
      <c r="N23" s="425"/>
      <c r="O23" s="425"/>
      <c r="P23" s="425"/>
      <c r="Q23" s="425"/>
      <c r="R23" s="425"/>
      <c r="S23" s="914"/>
    </row>
    <row r="24" spans="1:19" ht="12.75" customHeight="1">
      <c r="A24" s="428"/>
      <c r="B24" s="926" t="s">
        <v>943</v>
      </c>
      <c r="C24" s="425"/>
      <c r="D24" s="425"/>
      <c r="E24" s="425"/>
      <c r="F24" s="425"/>
      <c r="G24" s="425"/>
      <c r="H24" s="425"/>
      <c r="I24" s="425"/>
      <c r="J24" s="425"/>
      <c r="K24" s="425"/>
      <c r="L24" s="425"/>
      <c r="M24" s="425"/>
      <c r="N24" s="425"/>
      <c r="O24" s="425"/>
      <c r="P24" s="425"/>
      <c r="Q24" s="425"/>
      <c r="R24" s="425"/>
      <c r="S24" s="914"/>
    </row>
    <row r="25" spans="1:19" ht="12.75" customHeight="1">
      <c r="A25" s="428"/>
      <c r="B25" s="428" t="s">
        <v>944</v>
      </c>
      <c r="C25" s="428"/>
      <c r="D25" s="428"/>
      <c r="E25" s="428"/>
      <c r="F25" s="428"/>
      <c r="G25" s="428"/>
      <c r="H25" s="428"/>
      <c r="I25" s="428"/>
      <c r="J25" s="428"/>
      <c r="K25" s="428"/>
      <c r="L25" s="428"/>
      <c r="M25" s="428"/>
      <c r="N25" s="428"/>
      <c r="O25" s="428"/>
      <c r="P25" s="428"/>
      <c r="Q25" s="428"/>
      <c r="R25" s="428"/>
      <c r="S25" s="915"/>
    </row>
    <row r="26" spans="1:19" ht="12.75" customHeight="1">
      <c r="A26" s="428"/>
      <c r="B26" s="428" t="s">
        <v>945</v>
      </c>
      <c r="C26" s="428"/>
      <c r="D26" s="428"/>
      <c r="E26" s="428"/>
      <c r="F26" s="428"/>
      <c r="G26" s="428"/>
      <c r="H26" s="428"/>
      <c r="I26" s="428"/>
      <c r="J26" s="428"/>
      <c r="K26" s="428"/>
      <c r="L26" s="428"/>
      <c r="M26" s="428"/>
      <c r="N26" s="428"/>
      <c r="O26" s="428"/>
      <c r="P26" s="428"/>
      <c r="Q26" s="428"/>
      <c r="R26" s="428"/>
      <c r="S26" s="915"/>
    </row>
    <row r="27" spans="1:19" ht="12.75" customHeight="1">
      <c r="A27" s="428"/>
      <c r="B27" s="428" t="s">
        <v>946</v>
      </c>
      <c r="C27" s="428"/>
      <c r="D27" s="428"/>
      <c r="E27" s="428"/>
      <c r="F27" s="428"/>
      <c r="G27" s="428"/>
      <c r="H27" s="428"/>
      <c r="I27" s="428"/>
      <c r="J27" s="428"/>
      <c r="K27" s="428"/>
      <c r="L27" s="428"/>
      <c r="M27" s="428"/>
      <c r="N27" s="428"/>
      <c r="O27" s="428"/>
      <c r="P27" s="428"/>
      <c r="Q27" s="428"/>
      <c r="R27" s="428"/>
      <c r="S27" s="915"/>
    </row>
    <row r="28" spans="1:19" ht="12.75" customHeight="1">
      <c r="A28" s="428"/>
      <c r="B28" s="428" t="s">
        <v>947</v>
      </c>
      <c r="C28" s="428"/>
      <c r="D28" s="428"/>
      <c r="E28" s="428"/>
      <c r="F28" s="428"/>
      <c r="G28" s="428"/>
      <c r="H28" s="428"/>
      <c r="I28" s="428"/>
      <c r="J28" s="428"/>
      <c r="K28" s="428"/>
      <c r="L28" s="428"/>
      <c r="M28" s="428"/>
      <c r="N28" s="428"/>
      <c r="O28" s="428"/>
      <c r="P28" s="428"/>
      <c r="Q28" s="428"/>
      <c r="R28" s="428"/>
      <c r="S28" s="915"/>
    </row>
    <row r="29" spans="1:19" ht="12.75" customHeight="1">
      <c r="A29" s="428"/>
      <c r="B29" s="428"/>
      <c r="C29" s="428"/>
      <c r="D29" s="428"/>
      <c r="E29" s="428"/>
      <c r="F29" s="428"/>
      <c r="G29" s="428"/>
      <c r="H29" s="428"/>
      <c r="I29" s="428"/>
      <c r="J29" s="428"/>
      <c r="K29" s="428"/>
      <c r="L29" s="428"/>
      <c r="M29" s="428"/>
      <c r="N29" s="428"/>
      <c r="O29" s="428"/>
      <c r="P29" s="428"/>
      <c r="Q29" s="428"/>
      <c r="R29" s="428"/>
      <c r="S29" s="915"/>
    </row>
    <row r="30" spans="1:19" ht="12.75" customHeight="1">
      <c r="A30" s="428"/>
      <c r="B30" s="926" t="s">
        <v>948</v>
      </c>
      <c r="C30" s="428"/>
      <c r="D30" s="428"/>
      <c r="E30" s="428"/>
      <c r="F30" s="428"/>
      <c r="G30" s="428"/>
      <c r="H30" s="428"/>
      <c r="I30" s="428"/>
      <c r="J30" s="428"/>
      <c r="K30" s="428"/>
      <c r="L30" s="428"/>
      <c r="M30" s="428"/>
      <c r="N30" s="428"/>
      <c r="O30" s="428"/>
      <c r="P30" s="428"/>
      <c r="Q30" s="428"/>
      <c r="R30" s="428"/>
      <c r="S30" s="915"/>
    </row>
    <row r="31" spans="1:19" ht="12.75" customHeight="1">
      <c r="A31" s="912"/>
      <c r="B31" s="425" t="s">
        <v>949</v>
      </c>
      <c r="C31" s="916"/>
      <c r="D31" s="916"/>
      <c r="E31" s="916"/>
      <c r="F31" s="916"/>
      <c r="G31" s="916"/>
      <c r="H31" s="916"/>
      <c r="I31" s="916"/>
      <c r="J31" s="916"/>
      <c r="K31" s="916"/>
      <c r="L31" s="916"/>
      <c r="M31" s="916"/>
      <c r="N31" s="916"/>
      <c r="O31" s="916"/>
      <c r="P31" s="425"/>
      <c r="Q31" s="425"/>
      <c r="R31" s="425"/>
      <c r="S31" s="914"/>
    </row>
    <row r="32" spans="1:19" ht="12.75" customHeight="1">
      <c r="A32" s="912"/>
      <c r="B32" s="425" t="s">
        <v>950</v>
      </c>
      <c r="C32" s="425"/>
      <c r="D32" s="425"/>
      <c r="E32" s="425"/>
      <c r="F32" s="425"/>
      <c r="G32" s="425"/>
      <c r="H32" s="425"/>
      <c r="I32" s="425"/>
      <c r="J32" s="425"/>
      <c r="K32" s="425"/>
      <c r="L32" s="425"/>
      <c r="M32" s="425"/>
      <c r="N32" s="425"/>
      <c r="O32" s="425"/>
      <c r="P32" s="425"/>
      <c r="Q32" s="425"/>
      <c r="R32" s="425"/>
      <c r="S32" s="914"/>
    </row>
    <row r="33" spans="1:19" ht="12.75" customHeight="1">
      <c r="A33" s="912"/>
      <c r="B33" s="426" t="s">
        <v>951</v>
      </c>
      <c r="C33" s="425"/>
      <c r="D33" s="425"/>
      <c r="E33" s="425"/>
      <c r="F33" s="425"/>
      <c r="G33" s="425"/>
      <c r="H33" s="425"/>
      <c r="I33" s="425"/>
      <c r="J33" s="425"/>
      <c r="K33" s="425"/>
      <c r="L33" s="425"/>
      <c r="M33" s="425"/>
      <c r="N33" s="425"/>
      <c r="O33" s="425"/>
      <c r="P33" s="425"/>
      <c r="Q33" s="425"/>
      <c r="R33" s="425"/>
      <c r="S33" s="914"/>
    </row>
    <row r="34" spans="1:19" ht="12.75" customHeight="1">
      <c r="A34" s="912"/>
      <c r="B34" s="924" t="s">
        <v>952</v>
      </c>
      <c r="C34" s="425"/>
      <c r="D34" s="425"/>
      <c r="E34" s="425"/>
      <c r="F34" s="425"/>
      <c r="G34" s="425"/>
      <c r="H34" s="425"/>
      <c r="I34" s="425"/>
      <c r="J34" s="425"/>
      <c r="K34" s="425"/>
      <c r="L34" s="425"/>
      <c r="M34" s="425"/>
      <c r="N34" s="425"/>
      <c r="O34" s="425"/>
      <c r="P34" s="425"/>
      <c r="Q34" s="425"/>
      <c r="R34" s="425"/>
      <c r="S34" s="914"/>
    </row>
    <row r="35" spans="1:19" ht="12.75" customHeight="1">
      <c r="A35" s="428"/>
      <c r="B35" s="428" t="s">
        <v>953</v>
      </c>
      <c r="C35" s="425"/>
      <c r="D35" s="425"/>
      <c r="E35" s="425"/>
      <c r="F35" s="425"/>
      <c r="G35" s="425"/>
      <c r="H35" s="425"/>
      <c r="I35" s="425"/>
      <c r="J35" s="425"/>
      <c r="K35" s="425"/>
      <c r="L35" s="425"/>
      <c r="M35" s="425"/>
      <c r="N35" s="425"/>
      <c r="O35" s="425"/>
      <c r="P35" s="425"/>
      <c r="Q35" s="425"/>
      <c r="R35" s="425"/>
      <c r="S35" s="914"/>
    </row>
    <row r="36" spans="1:19" ht="12.75" customHeight="1">
      <c r="A36" s="912"/>
      <c r="B36" s="428"/>
      <c r="C36" s="425"/>
      <c r="D36" s="425"/>
      <c r="E36" s="425"/>
      <c r="F36" s="425"/>
      <c r="G36" s="425"/>
      <c r="H36" s="425"/>
      <c r="I36" s="425"/>
      <c r="J36" s="425"/>
      <c r="K36" s="425"/>
      <c r="L36" s="425"/>
      <c r="M36" s="425"/>
      <c r="N36" s="425"/>
      <c r="O36" s="425"/>
      <c r="P36" s="425"/>
      <c r="Q36" s="425"/>
      <c r="R36" s="425"/>
      <c r="S36" s="914"/>
    </row>
    <row r="37" spans="1:19" ht="12.75" customHeight="1">
      <c r="A37" s="912"/>
      <c r="B37" s="926" t="s">
        <v>954</v>
      </c>
      <c r="C37" s="425"/>
      <c r="D37" s="425"/>
      <c r="E37" s="425"/>
      <c r="F37" s="425"/>
      <c r="G37" s="425"/>
      <c r="H37" s="425"/>
      <c r="I37" s="425"/>
      <c r="J37" s="425"/>
      <c r="K37" s="425"/>
      <c r="L37" s="425"/>
      <c r="M37" s="425"/>
      <c r="N37" s="425"/>
      <c r="O37" s="425"/>
      <c r="P37" s="425"/>
      <c r="Q37" s="425"/>
      <c r="R37" s="425"/>
      <c r="S37" s="914"/>
    </row>
    <row r="38" spans="1:19" ht="12.75" customHeight="1">
      <c r="A38" s="912"/>
      <c r="B38" s="425" t="s">
        <v>955</v>
      </c>
      <c r="C38" s="425"/>
      <c r="D38" s="425"/>
      <c r="E38" s="425"/>
      <c r="F38" s="425"/>
      <c r="G38" s="425"/>
      <c r="H38" s="425"/>
      <c r="I38" s="425"/>
      <c r="J38" s="425"/>
      <c r="K38" s="425"/>
      <c r="L38" s="425"/>
      <c r="M38" s="425"/>
      <c r="N38" s="425"/>
      <c r="O38" s="425"/>
      <c r="P38" s="425"/>
      <c r="Q38" s="425"/>
      <c r="R38" s="425"/>
      <c r="S38" s="913"/>
    </row>
    <row r="39" spans="1:19" ht="12.75" customHeight="1">
      <c r="A39" s="925"/>
      <c r="B39" s="428" t="s">
        <v>956</v>
      </c>
      <c r="C39" s="428"/>
      <c r="D39" s="428"/>
      <c r="E39" s="428"/>
      <c r="F39" s="428"/>
      <c r="G39" s="428"/>
      <c r="H39" s="428"/>
      <c r="I39" s="428"/>
      <c r="J39" s="428"/>
      <c r="K39" s="428"/>
      <c r="L39" s="428"/>
      <c r="M39" s="428"/>
      <c r="N39" s="428"/>
      <c r="O39" s="428"/>
      <c r="P39" s="428"/>
      <c r="Q39" s="428"/>
      <c r="R39" s="428"/>
      <c r="S39" s="913"/>
    </row>
    <row r="40" spans="1:19" ht="12.75" customHeight="1">
      <c r="A40" s="912"/>
      <c r="B40" s="425" t="s">
        <v>957</v>
      </c>
      <c r="C40" s="425"/>
      <c r="D40" s="425"/>
      <c r="E40" s="425"/>
      <c r="F40" s="425"/>
      <c r="G40" s="425"/>
      <c r="H40" s="425"/>
      <c r="I40" s="425"/>
      <c r="J40" s="425"/>
      <c r="K40" s="425"/>
      <c r="L40" s="425"/>
      <c r="M40" s="425"/>
      <c r="N40" s="425"/>
      <c r="O40" s="425"/>
      <c r="P40" s="425"/>
      <c r="Q40" s="425"/>
      <c r="R40" s="425"/>
      <c r="S40" s="913"/>
    </row>
    <row r="41" spans="1:19" ht="12.75" customHeight="1">
      <c r="A41" s="912"/>
      <c r="B41" s="425" t="s">
        <v>958</v>
      </c>
      <c r="C41" s="425"/>
      <c r="D41" s="425"/>
      <c r="E41" s="425"/>
      <c r="F41" s="425"/>
      <c r="G41" s="425"/>
      <c r="H41" s="425"/>
      <c r="I41" s="425"/>
      <c r="J41" s="425"/>
      <c r="K41" s="425"/>
      <c r="L41" s="425"/>
      <c r="M41" s="425"/>
      <c r="N41" s="425"/>
      <c r="O41" s="425"/>
      <c r="P41" s="425"/>
      <c r="Q41" s="425"/>
      <c r="R41" s="425"/>
      <c r="S41" s="913"/>
    </row>
    <row r="42" spans="1:19" ht="12.75" customHeight="1">
      <c r="A42" s="912"/>
      <c r="B42" s="425"/>
      <c r="C42" s="425"/>
      <c r="D42" s="425"/>
      <c r="E42" s="425"/>
      <c r="F42" s="425"/>
      <c r="G42" s="425"/>
      <c r="H42" s="425"/>
      <c r="I42" s="425"/>
      <c r="J42" s="425"/>
      <c r="K42" s="425"/>
      <c r="L42" s="425"/>
      <c r="M42" s="425"/>
      <c r="N42" s="425"/>
      <c r="O42" s="425"/>
      <c r="P42" s="425"/>
      <c r="Q42" s="425"/>
      <c r="R42" s="425"/>
      <c r="S42" s="913"/>
    </row>
    <row r="43" spans="1:19" ht="12.75" customHeight="1">
      <c r="A43" s="912"/>
      <c r="B43" s="425"/>
      <c r="C43" s="425"/>
      <c r="D43" s="425"/>
      <c r="E43" s="425"/>
      <c r="F43" s="425"/>
      <c r="G43" s="425"/>
      <c r="H43" s="425"/>
      <c r="I43" s="425"/>
      <c r="J43" s="425"/>
      <c r="K43" s="425"/>
      <c r="L43" s="425"/>
      <c r="M43" s="425"/>
      <c r="N43" s="425"/>
      <c r="O43" s="425"/>
      <c r="P43" s="425"/>
      <c r="Q43" s="425"/>
      <c r="R43" s="425"/>
      <c r="S43" s="913"/>
    </row>
    <row r="44" spans="1:19" ht="12.75" customHeight="1">
      <c r="A44" s="912"/>
      <c r="B44" s="425"/>
      <c r="C44" s="425"/>
      <c r="D44" s="425"/>
      <c r="E44" s="425"/>
      <c r="F44" s="425"/>
      <c r="G44" s="425"/>
      <c r="H44" s="425"/>
      <c r="I44" s="425"/>
      <c r="J44" s="425"/>
      <c r="K44" s="425"/>
      <c r="L44" s="425"/>
      <c r="M44" s="425"/>
      <c r="N44" s="425"/>
      <c r="O44" s="425"/>
      <c r="P44" s="425"/>
      <c r="Q44" s="425"/>
      <c r="R44" s="425"/>
      <c r="S44" s="913"/>
    </row>
    <row r="45" spans="1:19" ht="12.75" customHeight="1">
      <c r="A45" s="912"/>
      <c r="B45" s="425"/>
      <c r="C45" s="425"/>
      <c r="D45" s="425"/>
      <c r="E45" s="425"/>
      <c r="F45" s="425"/>
      <c r="G45" s="425"/>
      <c r="H45" s="425"/>
      <c r="I45" s="425"/>
      <c r="J45" s="425"/>
      <c r="K45" s="425"/>
      <c r="L45" s="425"/>
      <c r="M45" s="425"/>
      <c r="N45" s="425"/>
      <c r="O45" s="425"/>
      <c r="P45" s="425"/>
      <c r="Q45" s="425"/>
      <c r="R45" s="425"/>
      <c r="S45" s="913"/>
    </row>
    <row r="46" spans="1:19" ht="12.75" customHeight="1">
      <c r="A46" s="912"/>
      <c r="B46" s="425"/>
      <c r="C46" s="425"/>
      <c r="D46" s="425"/>
      <c r="E46" s="425"/>
      <c r="F46" s="425"/>
      <c r="G46" s="425"/>
      <c r="H46" s="425"/>
      <c r="I46" s="425"/>
      <c r="J46" s="425"/>
      <c r="K46" s="425"/>
      <c r="L46" s="425"/>
      <c r="M46" s="425"/>
      <c r="N46" s="425"/>
      <c r="O46" s="425"/>
      <c r="P46" s="425"/>
      <c r="Q46" s="425"/>
      <c r="R46" s="425"/>
      <c r="S46" s="913"/>
    </row>
    <row r="47" spans="1:19" ht="12.75" customHeight="1">
      <c r="A47" s="912"/>
      <c r="B47" s="425"/>
      <c r="C47" s="425"/>
      <c r="D47" s="425"/>
      <c r="E47" s="425"/>
      <c r="F47" s="425"/>
      <c r="G47" s="425"/>
      <c r="H47" s="425"/>
      <c r="I47" s="425"/>
      <c r="J47" s="425"/>
      <c r="K47" s="425"/>
      <c r="L47" s="425"/>
      <c r="M47" s="425"/>
      <c r="N47" s="425"/>
      <c r="O47" s="425"/>
      <c r="P47" s="425"/>
      <c r="Q47" s="425"/>
      <c r="R47" s="425"/>
      <c r="S47" s="913"/>
    </row>
    <row r="48" spans="1:19" ht="12.75" customHeight="1">
      <c r="A48" s="912"/>
      <c r="B48" s="425"/>
      <c r="C48" s="425"/>
      <c r="D48" s="425"/>
      <c r="E48" s="425"/>
      <c r="F48" s="425"/>
      <c r="G48" s="425"/>
      <c r="H48" s="425"/>
      <c r="I48" s="425"/>
      <c r="J48" s="425"/>
      <c r="K48" s="425"/>
      <c r="L48" s="425"/>
      <c r="M48" s="425"/>
      <c r="N48" s="425"/>
      <c r="O48" s="425"/>
      <c r="P48" s="425"/>
      <c r="Q48" s="425"/>
      <c r="R48" s="425"/>
      <c r="S48" s="913"/>
    </row>
    <row r="49" spans="1:19" ht="12.75" customHeight="1">
      <c r="A49" s="912"/>
      <c r="B49" s="425"/>
      <c r="C49" s="425"/>
      <c r="D49" s="425"/>
      <c r="E49" s="425"/>
      <c r="F49" s="425"/>
      <c r="G49" s="425"/>
      <c r="H49" s="425"/>
      <c r="I49" s="425"/>
      <c r="J49" s="425"/>
      <c r="K49" s="425"/>
      <c r="L49" s="425"/>
      <c r="M49" s="425"/>
      <c r="N49" s="425"/>
      <c r="O49" s="425"/>
      <c r="P49" s="425"/>
      <c r="Q49" s="425"/>
      <c r="R49" s="425"/>
      <c r="S49" s="913"/>
    </row>
    <row r="50" spans="1:19" ht="12.75" customHeight="1">
      <c r="A50" s="912"/>
      <c r="B50" s="425"/>
      <c r="C50" s="425"/>
      <c r="D50" s="425"/>
      <c r="E50" s="425"/>
      <c r="F50" s="425"/>
      <c r="G50" s="425"/>
      <c r="H50" s="425"/>
      <c r="I50" s="425"/>
      <c r="J50" s="425"/>
      <c r="K50" s="425"/>
      <c r="L50" s="425"/>
      <c r="M50" s="425"/>
      <c r="N50" s="425"/>
      <c r="O50" s="425"/>
      <c r="P50" s="425"/>
      <c r="Q50" s="425"/>
      <c r="R50" s="425"/>
      <c r="S50" s="913"/>
    </row>
    <row r="51" spans="1:19" ht="12.75" customHeight="1">
      <c r="A51" s="912"/>
      <c r="B51" s="425"/>
      <c r="C51" s="425"/>
      <c r="D51" s="425"/>
      <c r="E51" s="425"/>
      <c r="F51" s="425"/>
      <c r="G51" s="425"/>
      <c r="H51" s="425"/>
      <c r="I51" s="425"/>
      <c r="J51" s="425"/>
      <c r="K51" s="425"/>
      <c r="L51" s="425"/>
      <c r="M51" s="425"/>
      <c r="N51" s="425"/>
      <c r="O51" s="425"/>
      <c r="P51" s="425"/>
      <c r="Q51" s="425"/>
      <c r="R51" s="425"/>
      <c r="S51" s="913"/>
    </row>
    <row r="52" spans="1:19" ht="12.75" customHeight="1">
      <c r="A52" s="425"/>
      <c r="B52" s="425"/>
      <c r="C52" s="425"/>
      <c r="D52" s="425"/>
      <c r="E52" s="425"/>
      <c r="F52" s="425"/>
      <c r="G52" s="425"/>
      <c r="H52" s="425"/>
      <c r="I52" s="425"/>
      <c r="J52" s="425"/>
      <c r="K52" s="425"/>
      <c r="L52" s="425"/>
      <c r="M52" s="425"/>
      <c r="N52" s="425"/>
      <c r="O52" s="425"/>
      <c r="P52" s="425"/>
      <c r="Q52" s="425"/>
      <c r="R52" s="425"/>
      <c r="S52" s="425"/>
    </row>
    <row r="53" spans="1:19" ht="12.75" customHeight="1">
      <c r="A53" s="425"/>
      <c r="B53" s="425"/>
      <c r="C53" s="425"/>
      <c r="D53" s="425"/>
      <c r="E53" s="425"/>
      <c r="F53" s="425"/>
      <c r="G53" s="425"/>
      <c r="H53" s="425"/>
      <c r="I53" s="425"/>
      <c r="J53" s="425"/>
      <c r="K53" s="425"/>
      <c r="L53" s="425"/>
      <c r="M53" s="425"/>
      <c r="N53" s="425"/>
      <c r="O53" s="425"/>
      <c r="P53" s="425"/>
      <c r="Q53" s="425"/>
      <c r="R53" s="425"/>
      <c r="S53" s="425"/>
    </row>
    <row r="54" spans="1:19" ht="12.75" customHeight="1">
      <c r="A54" s="323"/>
      <c r="B54" s="323"/>
      <c r="C54" s="323"/>
      <c r="D54" s="323"/>
      <c r="E54" s="323"/>
      <c r="F54" s="323"/>
      <c r="G54" s="323"/>
      <c r="H54" s="323"/>
      <c r="I54" s="323"/>
      <c r="J54" s="323"/>
      <c r="K54" s="323"/>
      <c r="L54" s="323"/>
      <c r="M54" s="323"/>
      <c r="N54" s="323"/>
      <c r="O54" s="323"/>
      <c r="P54" s="323"/>
      <c r="Q54" s="323"/>
      <c r="R54" s="323"/>
      <c r="S54" s="323"/>
    </row>
    <row r="55" spans="1:19" ht="12.75" customHeight="1">
      <c r="A55" s="322"/>
      <c r="B55" s="323"/>
      <c r="C55" s="323"/>
      <c r="D55" s="323"/>
      <c r="E55" s="323"/>
      <c r="F55" s="323"/>
      <c r="G55" s="323"/>
      <c r="H55" s="323"/>
      <c r="I55" s="323"/>
      <c r="J55" s="323"/>
      <c r="K55" s="323"/>
      <c r="L55" s="323"/>
      <c r="M55" s="323"/>
      <c r="N55" s="323"/>
      <c r="O55" s="323"/>
      <c r="P55" s="323"/>
      <c r="Q55" s="323"/>
      <c r="R55" s="923" t="s">
        <v>757</v>
      </c>
      <c r="S55" s="323"/>
    </row>
    <row r="56" spans="1:19" ht="12.75" customHeight="1">
      <c r="A56" s="330"/>
      <c r="B56" s="331"/>
      <c r="C56" s="331"/>
      <c r="D56" s="331"/>
      <c r="E56" s="331"/>
      <c r="F56" s="331"/>
      <c r="G56" s="331"/>
      <c r="H56" s="331"/>
      <c r="I56" s="331"/>
      <c r="J56" s="331"/>
      <c r="K56" s="331"/>
      <c r="L56" s="331"/>
      <c r="M56" s="331"/>
      <c r="N56" s="331"/>
      <c r="O56" s="331"/>
      <c r="P56" s="331"/>
      <c r="Q56" s="331"/>
      <c r="R56" s="331"/>
      <c r="S56" s="331"/>
    </row>
  </sheetData>
  <sheetProtection algorithmName="SHA-512" hashValue="VQo20jrUrmKzgJ0LP/hEwHe24bc/li7JTCeVHQjU5P6Ctcg8pKwLkriK0IJsK/gtYbhnuVuv11fmVGZWPkwGug==" saltValue="t2Kk8rbjmvlz/VijJfKACw==" spinCount="100000" sheet="1" scenarios="1" insertHyperlinks="0"/>
  <mergeCells count="1">
    <mergeCell ref="A1:S1"/>
  </mergeCells>
  <hyperlinks>
    <hyperlink ref="R55" location="'EV5 Acc. Stack Construction'!A1" display="back" xr:uid="{A30AE3BF-5C3A-43B5-A1D7-34BA0B21F1B4}"/>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election sqref="A1:S1"/>
    </sheetView>
  </sheetViews>
  <sheetFormatPr baseColWidth="10" defaultColWidth="11.46484375" defaultRowHeight="12.75"/>
  <cols>
    <col min="1" max="1" width="5" customWidth="1"/>
    <col min="2" max="2" width="5.86328125" customWidth="1"/>
    <col min="3" max="38" width="5" customWidth="1"/>
  </cols>
  <sheetData>
    <row r="1" spans="1:38" ht="13.15">
      <c r="A1" s="1087" t="s">
        <v>959</v>
      </c>
      <c r="B1" s="1087"/>
      <c r="C1" s="1087"/>
      <c r="D1" s="1087"/>
      <c r="E1" s="1087"/>
      <c r="F1" s="1087"/>
      <c r="G1" s="1087"/>
      <c r="H1" s="1087"/>
      <c r="I1" s="1087"/>
      <c r="J1" s="1087"/>
      <c r="K1" s="1087"/>
      <c r="L1" s="1087"/>
      <c r="M1" s="1087"/>
      <c r="N1" s="1087"/>
      <c r="O1" s="1087"/>
      <c r="P1" s="1087"/>
      <c r="Q1" s="1087"/>
      <c r="R1" s="1087"/>
      <c r="S1" s="1087"/>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236"/>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170"/>
      <c r="M6" s="170"/>
      <c r="N6" s="170"/>
      <c r="O6" s="170"/>
      <c r="P6" s="170"/>
      <c r="Q6" s="170"/>
      <c r="R6" s="170"/>
      <c r="S6" s="172"/>
      <c r="T6" s="146"/>
      <c r="U6" s="156"/>
      <c r="V6" s="104"/>
      <c r="W6" s="104"/>
      <c r="X6" s="104"/>
      <c r="Y6" s="104"/>
      <c r="Z6" s="104"/>
      <c r="AA6" s="104"/>
      <c r="AB6" s="104"/>
      <c r="AC6" s="104"/>
      <c r="AD6" s="104"/>
      <c r="AE6" s="104"/>
      <c r="AF6" s="104"/>
      <c r="AG6" s="104"/>
      <c r="AH6" s="104"/>
      <c r="AI6" s="104"/>
      <c r="AJ6" s="104"/>
      <c r="AK6" s="104"/>
      <c r="AL6" s="147"/>
    </row>
    <row r="7" spans="1:38">
      <c r="A7" s="171"/>
      <c r="B7" s="231"/>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B8" s="231"/>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1"/>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B12" s="23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c r="C14" s="231"/>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4"/>
      <c r="C15" s="231"/>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235"/>
      <c r="C16" s="231"/>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35"/>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231"/>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231"/>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A22" s="17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A23" s="171"/>
      <c r="B23" s="234"/>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A24" s="171"/>
      <c r="B24" s="234"/>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A25" s="171"/>
      <c r="B25" s="221" t="s">
        <v>757</v>
      </c>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A26" s="171"/>
      <c r="B26" s="8"/>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ht="17.649999999999999">
      <c r="A27" s="171"/>
      <c r="B27" s="302" t="s">
        <v>919</v>
      </c>
      <c r="C27" s="299"/>
      <c r="D27" s="299"/>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ht="17.25">
      <c r="A28" s="171"/>
      <c r="B28" s="300" t="s">
        <v>960</v>
      </c>
      <c r="C28" s="301"/>
      <c r="D28" s="301"/>
      <c r="E28" s="301"/>
      <c r="F28" s="301"/>
      <c r="G28" s="301"/>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A29" s="171"/>
      <c r="B29" s="231"/>
      <c r="C29" s="231"/>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ht="29.25" customHeight="1">
      <c r="A30" s="304" t="s">
        <v>961</v>
      </c>
      <c r="B30" s="1551" t="s">
        <v>962</v>
      </c>
      <c r="C30" s="1552"/>
      <c r="D30" s="1552"/>
      <c r="E30" s="1552"/>
      <c r="F30" s="1552"/>
      <c r="G30" s="1552"/>
      <c r="H30" s="1552"/>
      <c r="I30" s="1552"/>
      <c r="J30" s="1552"/>
      <c r="K30" s="1552"/>
      <c r="L30" s="1552"/>
      <c r="M30" s="1552"/>
      <c r="N30" s="1552"/>
      <c r="O30" s="1552"/>
      <c r="P30" s="1552"/>
      <c r="Q30" s="1552"/>
      <c r="R30" s="1552"/>
      <c r="S30" s="303" t="s">
        <v>961</v>
      </c>
      <c r="T30" s="146"/>
      <c r="U30" s="104"/>
      <c r="V30" s="104"/>
      <c r="W30" s="104"/>
      <c r="X30" s="104"/>
      <c r="Y30" s="104"/>
      <c r="Z30" s="104"/>
      <c r="AA30" s="104"/>
      <c r="AB30" s="104"/>
      <c r="AC30" s="104"/>
      <c r="AD30" s="104"/>
      <c r="AE30" s="104"/>
      <c r="AF30" s="104"/>
      <c r="AG30" s="104"/>
      <c r="AH30" s="104"/>
      <c r="AI30" s="104"/>
      <c r="AJ30" s="104"/>
      <c r="AK30" s="104"/>
      <c r="AL30" s="147"/>
    </row>
    <row r="31" spans="1:38">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231"/>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231"/>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232"/>
      <c r="B54" s="173"/>
      <c r="C54" s="173"/>
      <c r="D54" s="173"/>
      <c r="E54" s="173"/>
      <c r="F54" s="173"/>
      <c r="G54" s="173"/>
      <c r="H54" s="173"/>
      <c r="I54" s="173"/>
      <c r="J54" s="173"/>
      <c r="K54" s="173"/>
      <c r="L54" s="173"/>
      <c r="M54" s="173"/>
      <c r="N54" s="173"/>
      <c r="O54" s="173"/>
      <c r="P54" s="173"/>
      <c r="Q54" s="173"/>
      <c r="R54" s="173"/>
      <c r="S54" s="174"/>
      <c r="T54" s="148"/>
      <c r="U54" s="149"/>
      <c r="V54" s="149"/>
      <c r="W54" s="149"/>
      <c r="X54" s="149"/>
      <c r="Y54" s="149"/>
      <c r="Z54" s="149"/>
      <c r="AA54" s="149"/>
      <c r="AB54" s="149"/>
      <c r="AC54" s="149"/>
      <c r="AD54" s="149"/>
      <c r="AE54" s="149"/>
      <c r="AF54" s="149"/>
      <c r="AG54" s="149"/>
      <c r="AH54" s="149"/>
      <c r="AI54" s="149"/>
      <c r="AJ54" s="149"/>
      <c r="AK54" s="149"/>
      <c r="AL54" s="150"/>
    </row>
  </sheetData>
  <sheetProtection algorithmName="SHA-512" hashValue="qw9BNFE+B8LATvQ3mwIV3ycv17SZ83ThqJ1wNa1XBl8uskWD9Q3XO4Ro0MH4d6GvymIoV8KWsuJG5+UB38mPPw==" saltValue="nFWUTJwvJizxOALe+eawpQ==" spinCount="100000" sheet="1" scenarios="1" insertHyperlinks="0"/>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baseColWidth="10" defaultColWidth="11.46484375" defaultRowHeight="12.75"/>
  <cols>
    <col min="1" max="27" width="5" customWidth="1"/>
    <col min="28" max="28" width="6.1328125" customWidth="1"/>
    <col min="29" max="38" width="5" customWidth="1"/>
  </cols>
  <sheetData>
    <row r="1" spans="1:38" ht="13.15">
      <c r="A1" s="1087" t="s">
        <v>963</v>
      </c>
      <c r="B1" s="1087"/>
      <c r="C1" s="1087"/>
      <c r="D1" s="1087"/>
      <c r="E1" s="1087"/>
      <c r="F1" s="1087"/>
      <c r="G1" s="1087"/>
      <c r="H1" s="1087"/>
      <c r="I1" s="1087"/>
      <c r="J1" s="1087"/>
      <c r="K1" s="1087"/>
      <c r="L1" s="1087"/>
      <c r="M1" s="1087"/>
      <c r="N1" s="1087"/>
      <c r="O1" s="1087"/>
      <c r="P1" s="1087"/>
      <c r="Q1" s="1087"/>
      <c r="R1" s="1087"/>
      <c r="S1" s="1087"/>
      <c r="T1" s="58"/>
      <c r="U1" s="2"/>
      <c r="V1" s="2"/>
      <c r="W1" s="2"/>
      <c r="X1" s="2"/>
      <c r="Y1" s="2"/>
      <c r="Z1" s="2"/>
      <c r="AA1" s="2"/>
      <c r="AB1" s="2"/>
      <c r="AC1" s="2"/>
      <c r="AD1" s="2"/>
      <c r="AE1" s="2"/>
      <c r="AF1" s="2"/>
      <c r="AG1" s="2"/>
      <c r="AH1" s="2"/>
      <c r="AI1" s="2"/>
      <c r="AJ1" s="2"/>
      <c r="AK1" s="2"/>
      <c r="AL1" s="136"/>
    </row>
    <row r="2" spans="1:38">
      <c r="A2" s="237"/>
      <c r="B2" s="238"/>
      <c r="C2" s="238"/>
      <c r="D2" s="238"/>
      <c r="E2" s="238"/>
      <c r="F2" s="238"/>
      <c r="G2" s="238"/>
      <c r="H2" s="238"/>
      <c r="I2" s="238"/>
      <c r="J2" s="238"/>
      <c r="K2" s="238"/>
      <c r="L2" s="238"/>
      <c r="M2" s="238"/>
      <c r="N2" s="238"/>
      <c r="O2" s="238"/>
      <c r="P2" s="238"/>
      <c r="Q2" s="238"/>
      <c r="R2" s="238"/>
      <c r="S2" s="239"/>
      <c r="T2" s="4"/>
      <c r="U2" s="8" t="s">
        <v>964</v>
      </c>
      <c r="AL2" s="15"/>
    </row>
    <row r="3" spans="1:38">
      <c r="A3" s="240"/>
      <c r="B3" s="231" t="s">
        <v>965</v>
      </c>
      <c r="C3" s="231"/>
      <c r="D3" s="231"/>
      <c r="E3" s="231"/>
      <c r="F3" s="231"/>
      <c r="G3" s="231"/>
      <c r="H3" s="231"/>
      <c r="I3" s="231"/>
      <c r="J3" s="231"/>
      <c r="K3" s="231"/>
      <c r="L3" s="231"/>
      <c r="M3" s="231"/>
      <c r="N3" s="231"/>
      <c r="O3" s="231"/>
      <c r="P3" s="231"/>
      <c r="Q3" s="231"/>
      <c r="R3" s="231"/>
      <c r="S3" s="241"/>
      <c r="T3" s="4"/>
      <c r="U3" s="8" t="s">
        <v>966</v>
      </c>
      <c r="AL3" s="15"/>
    </row>
    <row r="4" spans="1:38">
      <c r="A4" s="240"/>
      <c r="B4" s="231" t="s">
        <v>967</v>
      </c>
      <c r="C4" s="231"/>
      <c r="D4" s="231"/>
      <c r="E4" s="231"/>
      <c r="F4" s="231"/>
      <c r="G4" s="231"/>
      <c r="H4" s="231"/>
      <c r="I4" s="231"/>
      <c r="J4" s="231"/>
      <c r="K4" s="231"/>
      <c r="L4" s="231"/>
      <c r="M4" s="231"/>
      <c r="N4" s="231"/>
      <c r="O4" s="231"/>
      <c r="P4" s="231"/>
      <c r="Q4" s="231"/>
      <c r="R4" s="231"/>
      <c r="S4" s="241"/>
      <c r="T4" s="4"/>
      <c r="AL4" s="15"/>
    </row>
    <row r="5" spans="1:38">
      <c r="A5" s="240"/>
      <c r="C5" s="231"/>
      <c r="D5" s="231"/>
      <c r="E5" s="231"/>
      <c r="F5" s="231"/>
      <c r="G5" s="231"/>
      <c r="H5" s="231"/>
      <c r="I5" s="231"/>
      <c r="J5" s="231"/>
      <c r="K5" s="231"/>
      <c r="L5" s="231"/>
      <c r="M5" s="231"/>
      <c r="N5" s="231"/>
      <c r="O5" s="231"/>
      <c r="P5" s="231"/>
      <c r="Q5" s="231"/>
      <c r="R5" s="231"/>
      <c r="S5" s="241"/>
      <c r="T5" s="4"/>
      <c r="U5" s="8" t="s">
        <v>968</v>
      </c>
      <c r="AL5" s="15"/>
    </row>
    <row r="6" spans="1:38">
      <c r="A6" s="240"/>
      <c r="B6" s="231" t="s">
        <v>969</v>
      </c>
      <c r="C6" s="231"/>
      <c r="D6" s="231"/>
      <c r="E6" s="231"/>
      <c r="F6" s="231"/>
      <c r="G6" s="231"/>
      <c r="H6" s="231"/>
      <c r="I6" s="231"/>
      <c r="J6" s="231"/>
      <c r="K6" s="231"/>
      <c r="L6" s="231"/>
      <c r="M6" s="231"/>
      <c r="N6" s="231"/>
      <c r="O6" s="231"/>
      <c r="P6" s="231"/>
      <c r="Q6" s="231"/>
      <c r="R6" s="231"/>
      <c r="S6" s="241"/>
      <c r="T6" s="4"/>
      <c r="AL6" s="15"/>
    </row>
    <row r="7" spans="1:38">
      <c r="A7" s="240"/>
      <c r="B7" s="231" t="s">
        <v>970</v>
      </c>
      <c r="C7" s="231"/>
      <c r="D7" s="231"/>
      <c r="E7" s="231"/>
      <c r="F7" s="231"/>
      <c r="G7" s="231"/>
      <c r="H7" s="231"/>
      <c r="I7" s="231"/>
      <c r="J7" s="231"/>
      <c r="K7" s="231"/>
      <c r="L7" s="231"/>
      <c r="M7" s="231"/>
      <c r="N7" s="231"/>
      <c r="O7" s="231"/>
      <c r="P7" s="231"/>
      <c r="Q7" s="231"/>
      <c r="R7" s="231"/>
      <c r="S7" s="241"/>
      <c r="T7" s="4"/>
      <c r="AL7" s="15"/>
    </row>
    <row r="8" spans="1:38">
      <c r="A8" s="240"/>
      <c r="C8" s="231"/>
      <c r="D8" s="231"/>
      <c r="E8" s="231"/>
      <c r="F8" s="231"/>
      <c r="G8" s="231"/>
      <c r="H8" s="231"/>
      <c r="I8" s="231"/>
      <c r="J8" s="231"/>
      <c r="K8" s="231"/>
      <c r="L8" s="231"/>
      <c r="M8" s="231"/>
      <c r="N8" s="231"/>
      <c r="O8" s="231"/>
      <c r="P8" s="231"/>
      <c r="Q8" s="231"/>
      <c r="R8" s="231"/>
      <c r="S8" s="241"/>
      <c r="T8" s="4"/>
      <c r="AL8" s="15"/>
    </row>
    <row r="9" spans="1:38">
      <c r="A9" s="240"/>
      <c r="B9" s="231" t="s">
        <v>971</v>
      </c>
      <c r="C9" s="231"/>
      <c r="D9" s="231" t="s">
        <v>972</v>
      </c>
      <c r="E9" s="231"/>
      <c r="F9" s="231"/>
      <c r="G9" s="231"/>
      <c r="H9" s="231"/>
      <c r="I9" s="231"/>
      <c r="J9" s="231"/>
      <c r="K9" s="231"/>
      <c r="L9" s="231"/>
      <c r="M9" s="231"/>
      <c r="N9" s="231"/>
      <c r="O9" s="231"/>
      <c r="P9" s="231"/>
      <c r="Q9" s="231"/>
      <c r="R9" s="231"/>
      <c r="S9" s="241"/>
      <c r="T9" s="4"/>
      <c r="AL9" s="15"/>
    </row>
    <row r="10" spans="1:38">
      <c r="A10" s="240"/>
      <c r="B10" s="231" t="s">
        <v>973</v>
      </c>
      <c r="C10" s="231"/>
      <c r="D10" s="8" t="s">
        <v>974</v>
      </c>
      <c r="E10" s="231"/>
      <c r="F10" s="231"/>
      <c r="G10" s="231"/>
      <c r="H10" s="231"/>
      <c r="I10" s="231"/>
      <c r="J10" s="231"/>
      <c r="K10" s="231"/>
      <c r="L10" s="231"/>
      <c r="M10" s="231"/>
      <c r="N10" s="231"/>
      <c r="O10" s="231"/>
      <c r="P10" s="231"/>
      <c r="Q10" s="231"/>
      <c r="R10" s="231"/>
      <c r="S10" s="241"/>
      <c r="T10" s="4"/>
      <c r="AL10" s="15"/>
    </row>
    <row r="11" spans="1:38">
      <c r="A11" s="240"/>
      <c r="B11" s="231" t="s">
        <v>975</v>
      </c>
      <c r="C11" s="231"/>
      <c r="D11" s="231" t="s">
        <v>976</v>
      </c>
      <c r="E11" s="231"/>
      <c r="F11" s="231"/>
      <c r="G11" s="231"/>
      <c r="H11" s="231"/>
      <c r="I11" s="231"/>
      <c r="J11" s="231"/>
      <c r="K11" s="231"/>
      <c r="L11" s="231"/>
      <c r="M11" s="231"/>
      <c r="N11" s="231"/>
      <c r="O11" s="231"/>
      <c r="P11" s="231"/>
      <c r="Q11" s="231"/>
      <c r="R11" s="231"/>
      <c r="S11" s="241"/>
      <c r="T11" s="4"/>
      <c r="AL11" s="15"/>
    </row>
    <row r="12" spans="1:38">
      <c r="A12" s="240"/>
      <c r="B12" s="231" t="s">
        <v>977</v>
      </c>
      <c r="C12" s="231"/>
      <c r="D12" s="231" t="s">
        <v>978</v>
      </c>
      <c r="E12" s="231"/>
      <c r="F12" s="231"/>
      <c r="G12" s="231"/>
      <c r="H12" s="231"/>
      <c r="I12" s="231"/>
      <c r="J12" s="231"/>
      <c r="K12" s="231"/>
      <c r="L12" s="231"/>
      <c r="M12" s="231"/>
      <c r="N12" s="231"/>
      <c r="O12" s="231"/>
      <c r="P12" s="231"/>
      <c r="Q12" s="231"/>
      <c r="R12" s="231"/>
      <c r="S12" s="241"/>
      <c r="T12" s="4"/>
      <c r="AL12" s="15"/>
    </row>
    <row r="13" spans="1:38">
      <c r="A13" s="240"/>
      <c r="B13" s="8" t="s">
        <v>979</v>
      </c>
      <c r="C13" s="231"/>
      <c r="D13" s="231" t="s">
        <v>980</v>
      </c>
      <c r="E13" s="231"/>
      <c r="F13" s="231"/>
      <c r="G13" s="231"/>
      <c r="H13" s="231"/>
      <c r="I13" s="231"/>
      <c r="J13" s="231"/>
      <c r="K13" s="231"/>
      <c r="L13" s="231"/>
      <c r="M13" s="231"/>
      <c r="N13" s="231"/>
      <c r="O13" s="231"/>
      <c r="P13" s="231"/>
      <c r="Q13" s="231"/>
      <c r="R13" s="231"/>
      <c r="S13" s="241"/>
      <c r="T13" s="4"/>
      <c r="AL13" s="15"/>
    </row>
    <row r="14" spans="1:38">
      <c r="A14" s="240"/>
      <c r="B14" s="234" t="s">
        <v>981</v>
      </c>
      <c r="C14" s="231"/>
      <c r="D14" s="231" t="s">
        <v>982</v>
      </c>
      <c r="E14" s="231"/>
      <c r="F14" s="231"/>
      <c r="G14" s="231"/>
      <c r="H14" s="231"/>
      <c r="I14" s="231"/>
      <c r="J14" s="231"/>
      <c r="K14" s="231"/>
      <c r="L14" s="231"/>
      <c r="M14" s="231"/>
      <c r="N14" s="231"/>
      <c r="O14" s="231"/>
      <c r="P14" s="231"/>
      <c r="Q14" s="231"/>
      <c r="R14" s="231"/>
      <c r="S14" s="241"/>
      <c r="T14" s="4"/>
      <c r="AL14" s="15"/>
    </row>
    <row r="15" spans="1:38">
      <c r="A15" s="240"/>
      <c r="B15" s="234" t="s">
        <v>983</v>
      </c>
      <c r="C15" s="231"/>
      <c r="D15" s="231" t="s">
        <v>984</v>
      </c>
      <c r="E15" s="231"/>
      <c r="F15" s="231"/>
      <c r="G15" s="231"/>
      <c r="H15" s="231"/>
      <c r="I15" s="231"/>
      <c r="J15" s="231"/>
      <c r="K15" s="231"/>
      <c r="L15" s="231"/>
      <c r="M15" s="231"/>
      <c r="N15" s="231"/>
      <c r="O15" s="231"/>
      <c r="P15" s="231"/>
      <c r="Q15" s="231"/>
      <c r="R15" s="231"/>
      <c r="S15" s="241"/>
      <c r="T15" s="4"/>
      <c r="AL15" s="15"/>
    </row>
    <row r="16" spans="1:38">
      <c r="A16" s="240"/>
      <c r="B16" s="235" t="s">
        <v>985</v>
      </c>
      <c r="C16" s="231"/>
      <c r="D16" s="231" t="s">
        <v>986</v>
      </c>
      <c r="E16" s="231"/>
      <c r="F16" s="231"/>
      <c r="G16" s="231"/>
      <c r="H16" s="231"/>
      <c r="I16" s="231"/>
      <c r="J16" s="231"/>
      <c r="K16" s="231"/>
      <c r="L16" s="231"/>
      <c r="M16" s="231"/>
      <c r="N16" s="231"/>
      <c r="O16" s="231"/>
      <c r="P16" s="231"/>
      <c r="Q16" s="231"/>
      <c r="R16" s="231"/>
      <c r="S16" s="241"/>
      <c r="T16" s="4"/>
      <c r="AL16" s="15"/>
    </row>
    <row r="17" spans="1:38">
      <c r="A17" s="240"/>
      <c r="B17" s="8" t="s">
        <v>987</v>
      </c>
      <c r="C17" s="231"/>
      <c r="D17" s="231" t="s">
        <v>988</v>
      </c>
      <c r="E17" s="231"/>
      <c r="F17" s="231"/>
      <c r="G17" s="231"/>
      <c r="H17" s="231"/>
      <c r="I17" s="231"/>
      <c r="J17" s="231"/>
      <c r="K17" s="231"/>
      <c r="L17" s="231"/>
      <c r="M17" s="231"/>
      <c r="N17" s="231"/>
      <c r="O17" s="231"/>
      <c r="P17" s="231"/>
      <c r="Q17" s="231"/>
      <c r="R17" s="231"/>
      <c r="S17" s="241"/>
      <c r="T17" s="4"/>
      <c r="AL17" s="15"/>
    </row>
    <row r="18" spans="1:38">
      <c r="A18" s="240"/>
      <c r="B18" s="231"/>
      <c r="C18" s="231"/>
      <c r="D18" s="231"/>
      <c r="E18" s="231"/>
      <c r="F18" s="231"/>
      <c r="G18" s="231"/>
      <c r="H18" s="231"/>
      <c r="I18" s="231"/>
      <c r="J18" s="231"/>
      <c r="K18" s="231"/>
      <c r="L18" s="231"/>
      <c r="M18" s="231"/>
      <c r="N18" s="231"/>
      <c r="O18" s="231"/>
      <c r="P18" s="231"/>
      <c r="Q18" s="231"/>
      <c r="R18" s="231"/>
      <c r="S18" s="241"/>
      <c r="T18" s="4"/>
      <c r="AL18" s="15"/>
    </row>
    <row r="19" spans="1:38">
      <c r="A19" s="240"/>
      <c r="B19" s="231" t="s">
        <v>989</v>
      </c>
      <c r="C19" s="231"/>
      <c r="D19" s="231"/>
      <c r="E19" s="231"/>
      <c r="F19" s="231"/>
      <c r="G19" s="231"/>
      <c r="H19" s="231"/>
      <c r="I19" s="231"/>
      <c r="J19" s="231"/>
      <c r="K19" s="231"/>
      <c r="L19" s="231"/>
      <c r="M19" s="231"/>
      <c r="N19" s="231"/>
      <c r="O19" s="231"/>
      <c r="P19" s="231"/>
      <c r="Q19" s="231"/>
      <c r="R19" s="231"/>
      <c r="S19" s="241"/>
      <c r="T19" s="4"/>
      <c r="AL19" s="15"/>
    </row>
    <row r="20" spans="1:38">
      <c r="A20" s="240"/>
      <c r="B20" s="8" t="s">
        <v>990</v>
      </c>
      <c r="C20" s="231"/>
      <c r="D20" s="231"/>
      <c r="E20" s="231"/>
      <c r="F20" s="231"/>
      <c r="G20" s="231"/>
      <c r="H20" s="231"/>
      <c r="I20" s="231"/>
      <c r="J20" s="231"/>
      <c r="K20" s="231"/>
      <c r="L20" s="231"/>
      <c r="M20" s="231"/>
      <c r="N20" s="231"/>
      <c r="O20" s="231"/>
      <c r="P20" s="231"/>
      <c r="Q20" s="231"/>
      <c r="R20" s="231"/>
      <c r="S20" s="241"/>
      <c r="T20" s="4"/>
      <c r="AL20" s="15"/>
    </row>
    <row r="21" spans="1:38">
      <c r="A21" s="240"/>
      <c r="B21" s="231"/>
      <c r="C21" s="231"/>
      <c r="D21" s="231"/>
      <c r="E21" s="231"/>
      <c r="F21" s="231"/>
      <c r="G21" s="231"/>
      <c r="H21" s="231"/>
      <c r="I21" s="231"/>
      <c r="J21" s="231"/>
      <c r="K21" s="231"/>
      <c r="L21" s="231"/>
      <c r="M21" s="231"/>
      <c r="N21" s="231"/>
      <c r="O21" s="231"/>
      <c r="P21" s="231"/>
      <c r="Q21" s="231"/>
      <c r="R21" s="231"/>
      <c r="S21" s="241"/>
      <c r="T21" s="4"/>
      <c r="AL21" s="15"/>
    </row>
    <row r="22" spans="1:38">
      <c r="A22" s="240"/>
      <c r="B22" s="627" t="s">
        <v>991</v>
      </c>
      <c r="C22" s="231"/>
      <c r="D22" s="231"/>
      <c r="E22" s="231"/>
      <c r="F22" s="231"/>
      <c r="G22" s="231"/>
      <c r="H22" s="231"/>
      <c r="I22" s="231"/>
      <c r="J22" s="231"/>
      <c r="K22" s="231"/>
      <c r="L22" s="231"/>
      <c r="M22" s="231"/>
      <c r="N22" s="231"/>
      <c r="O22" s="231"/>
      <c r="P22" s="231"/>
      <c r="Q22" s="231"/>
      <c r="R22" s="231"/>
      <c r="S22" s="241"/>
      <c r="T22" s="4"/>
      <c r="AL22" s="15"/>
    </row>
    <row r="23" spans="1:38">
      <c r="A23" s="240"/>
      <c r="B23" s="627" t="s">
        <v>992</v>
      </c>
      <c r="C23" s="231"/>
      <c r="D23" s="231"/>
      <c r="E23" s="231"/>
      <c r="F23" s="231"/>
      <c r="G23" s="231"/>
      <c r="H23" s="231"/>
      <c r="I23" s="231"/>
      <c r="J23" s="231"/>
      <c r="K23" s="231"/>
      <c r="L23" s="231"/>
      <c r="M23" s="231"/>
      <c r="N23" s="231"/>
      <c r="O23" s="231"/>
      <c r="P23" s="231"/>
      <c r="Q23" s="231"/>
      <c r="R23" s="231"/>
      <c r="S23" s="241"/>
      <c r="T23" s="4"/>
      <c r="AL23" s="15"/>
    </row>
    <row r="24" spans="1:38">
      <c r="A24" s="240"/>
      <c r="B24" s="627" t="s">
        <v>993</v>
      </c>
      <c r="C24" s="231"/>
      <c r="D24" s="231"/>
      <c r="E24" s="231"/>
      <c r="F24" s="231"/>
      <c r="G24" s="231"/>
      <c r="H24" s="231"/>
      <c r="I24" s="231"/>
      <c r="J24" s="231"/>
      <c r="K24" s="231"/>
      <c r="L24" s="231"/>
      <c r="M24" s="231"/>
      <c r="N24" s="231"/>
      <c r="O24" s="231"/>
      <c r="P24" s="231"/>
      <c r="Q24" s="231"/>
      <c r="R24" s="231"/>
      <c r="S24" s="241"/>
      <c r="T24" s="4"/>
      <c r="AL24" s="15"/>
    </row>
    <row r="25" spans="1:38">
      <c r="A25" s="240"/>
      <c r="B25" s="628" t="s">
        <v>994</v>
      </c>
      <c r="C25" s="231"/>
      <c r="D25" s="231"/>
      <c r="E25" s="231"/>
      <c r="F25" s="231"/>
      <c r="G25" s="231"/>
      <c r="H25" s="231"/>
      <c r="I25" s="231"/>
      <c r="J25" s="231"/>
      <c r="K25" s="231"/>
      <c r="L25" s="231"/>
      <c r="M25" s="231"/>
      <c r="N25" s="231"/>
      <c r="O25" s="231"/>
      <c r="P25" s="231"/>
      <c r="Q25" s="231"/>
      <c r="R25" s="231"/>
      <c r="S25" s="241"/>
      <c r="T25" s="4"/>
      <c r="AL25" s="15"/>
    </row>
    <row r="26" spans="1:38">
      <c r="A26" s="240"/>
      <c r="B26" s="629" t="s">
        <v>995</v>
      </c>
      <c r="C26" s="231"/>
      <c r="D26" s="231"/>
      <c r="E26" s="231"/>
      <c r="F26" s="231"/>
      <c r="G26" s="231"/>
      <c r="H26" s="231"/>
      <c r="I26" s="231"/>
      <c r="J26" s="231"/>
      <c r="K26" s="231"/>
      <c r="L26" s="231"/>
      <c r="M26" s="231"/>
      <c r="N26" s="231"/>
      <c r="O26" s="231"/>
      <c r="P26" s="231"/>
      <c r="Q26" s="231"/>
      <c r="R26" s="231"/>
      <c r="S26" s="241"/>
      <c r="T26" s="4"/>
      <c r="AL26" s="15"/>
    </row>
    <row r="27" spans="1:38">
      <c r="A27" s="240"/>
      <c r="B27" s="234"/>
      <c r="C27" s="231"/>
      <c r="D27" s="231"/>
      <c r="E27" s="231"/>
      <c r="F27" s="231"/>
      <c r="G27" s="231"/>
      <c r="H27" s="231"/>
      <c r="I27" s="231"/>
      <c r="J27" s="231"/>
      <c r="K27" s="231"/>
      <c r="L27" s="231"/>
      <c r="M27" s="231"/>
      <c r="N27" s="231"/>
      <c r="O27" s="231"/>
      <c r="P27" s="231"/>
      <c r="Q27" s="231"/>
      <c r="R27" s="231"/>
      <c r="S27" s="241"/>
      <c r="T27" s="4"/>
      <c r="AL27" s="15"/>
    </row>
    <row r="28" spans="1:38">
      <c r="A28" s="240"/>
      <c r="B28" s="235"/>
      <c r="C28" s="231"/>
      <c r="D28" s="231"/>
      <c r="E28" s="231"/>
      <c r="F28" s="231"/>
      <c r="G28" s="231"/>
      <c r="H28" s="231"/>
      <c r="I28" s="231"/>
      <c r="J28" s="231"/>
      <c r="K28" s="231"/>
      <c r="L28" s="231"/>
      <c r="M28" s="231"/>
      <c r="N28" s="231"/>
      <c r="O28" s="231"/>
      <c r="P28" s="231"/>
      <c r="Q28" s="231"/>
      <c r="R28" s="231"/>
      <c r="S28" s="241"/>
      <c r="T28" s="4"/>
      <c r="AL28" s="15"/>
    </row>
    <row r="29" spans="1:38">
      <c r="A29" s="240"/>
      <c r="B29" s="8"/>
      <c r="C29" s="231"/>
      <c r="D29" s="231"/>
      <c r="E29" s="231"/>
      <c r="F29" s="231"/>
      <c r="G29" s="231"/>
      <c r="H29" s="231"/>
      <c r="I29" s="231"/>
      <c r="J29" s="231"/>
      <c r="K29" s="231"/>
      <c r="L29" s="231"/>
      <c r="M29" s="231"/>
      <c r="N29" s="231"/>
      <c r="O29" s="231"/>
      <c r="P29" s="231"/>
      <c r="Q29" s="231"/>
      <c r="R29" s="231"/>
      <c r="S29" s="241"/>
      <c r="T29" s="4"/>
      <c r="AL29" s="15"/>
    </row>
    <row r="30" spans="1:38">
      <c r="A30" s="240"/>
      <c r="B30" s="8"/>
      <c r="C30" s="231"/>
      <c r="D30" s="231"/>
      <c r="E30" s="231"/>
      <c r="F30" s="231"/>
      <c r="G30" s="231"/>
      <c r="H30" s="231"/>
      <c r="I30" s="231"/>
      <c r="J30" s="231"/>
      <c r="K30" s="231"/>
      <c r="L30" s="231"/>
      <c r="M30" s="231"/>
      <c r="N30" s="231"/>
      <c r="O30" s="231"/>
      <c r="P30" s="231"/>
      <c r="Q30" s="231"/>
      <c r="R30" s="231"/>
      <c r="S30" s="241"/>
      <c r="T30" s="4"/>
      <c r="AB30" s="145" t="s">
        <v>757</v>
      </c>
      <c r="AL30" s="15"/>
    </row>
    <row r="31" spans="1:38">
      <c r="A31" s="240"/>
      <c r="B31" s="231"/>
      <c r="C31" s="231"/>
      <c r="D31" s="231"/>
      <c r="E31" s="231"/>
      <c r="F31" s="231"/>
      <c r="G31" s="231"/>
      <c r="H31" s="231"/>
      <c r="I31" s="231"/>
      <c r="J31" s="231"/>
      <c r="K31" s="231"/>
      <c r="L31" s="231"/>
      <c r="M31" s="231"/>
      <c r="N31" s="231"/>
      <c r="O31" s="231"/>
      <c r="P31" s="231"/>
      <c r="Q31" s="231"/>
      <c r="R31" s="231"/>
      <c r="S31" s="241"/>
      <c r="T31" s="4"/>
      <c r="AL31" s="15"/>
    </row>
    <row r="32" spans="1:38">
      <c r="A32" s="240"/>
      <c r="B32" s="231"/>
      <c r="C32" s="231"/>
      <c r="D32" s="231"/>
      <c r="E32" s="231"/>
      <c r="F32" s="231"/>
      <c r="G32" s="231"/>
      <c r="H32" s="231"/>
      <c r="I32" s="231"/>
      <c r="J32" s="231"/>
      <c r="K32" s="231"/>
      <c r="L32" s="231"/>
      <c r="M32" s="231"/>
      <c r="N32" s="231"/>
      <c r="O32" s="231"/>
      <c r="P32" s="231"/>
      <c r="Q32" s="231"/>
      <c r="R32" s="231"/>
      <c r="S32" s="241"/>
      <c r="T32" s="4"/>
      <c r="AL32" s="15"/>
    </row>
    <row r="33" spans="1:38">
      <c r="A33" s="240"/>
      <c r="B33" s="231"/>
      <c r="C33" s="231"/>
      <c r="D33" s="231"/>
      <c r="E33" s="231"/>
      <c r="F33" s="231"/>
      <c r="G33" s="231"/>
      <c r="H33" s="231"/>
      <c r="I33" s="231"/>
      <c r="J33" s="231"/>
      <c r="K33" s="231"/>
      <c r="L33" s="231"/>
      <c r="M33" s="231"/>
      <c r="N33" s="231"/>
      <c r="O33" s="231"/>
      <c r="P33" s="231"/>
      <c r="Q33" s="231"/>
      <c r="R33" s="231"/>
      <c r="S33" s="241"/>
      <c r="T33" s="4"/>
      <c r="AL33" s="15"/>
    </row>
    <row r="34" spans="1:38">
      <c r="A34" s="240"/>
      <c r="B34" s="231"/>
      <c r="C34" s="231"/>
      <c r="D34" s="231"/>
      <c r="E34" s="231"/>
      <c r="F34" s="231"/>
      <c r="G34" s="231"/>
      <c r="H34" s="231"/>
      <c r="I34" s="231"/>
      <c r="J34" s="231"/>
      <c r="K34" s="231"/>
      <c r="L34" s="231"/>
      <c r="M34" s="231"/>
      <c r="N34" s="231"/>
      <c r="O34" s="231"/>
      <c r="P34" s="231"/>
      <c r="Q34" s="231"/>
      <c r="R34" s="231"/>
      <c r="S34" s="241"/>
      <c r="T34" s="4"/>
      <c r="AL34" s="15"/>
    </row>
    <row r="35" spans="1:38">
      <c r="A35" s="240"/>
      <c r="B35" s="231"/>
      <c r="C35" s="231"/>
      <c r="D35" s="231"/>
      <c r="E35" s="231"/>
      <c r="F35" s="231"/>
      <c r="G35" s="231"/>
      <c r="H35" s="231"/>
      <c r="I35" s="231"/>
      <c r="J35" s="231"/>
      <c r="K35" s="231"/>
      <c r="L35" s="231"/>
      <c r="M35" s="231"/>
      <c r="N35" s="231"/>
      <c r="O35" s="231"/>
      <c r="P35" s="231"/>
      <c r="Q35" s="231"/>
      <c r="R35" s="231"/>
      <c r="S35" s="241"/>
      <c r="T35" s="4"/>
      <c r="AL35" s="15"/>
    </row>
    <row r="36" spans="1:38">
      <c r="A36" s="240"/>
      <c r="B36" s="231"/>
      <c r="C36" s="231"/>
      <c r="D36" s="231"/>
      <c r="E36" s="231"/>
      <c r="F36" s="231"/>
      <c r="G36" s="231"/>
      <c r="H36" s="231"/>
      <c r="I36" s="231"/>
      <c r="J36" s="231"/>
      <c r="K36" s="231"/>
      <c r="L36" s="231"/>
      <c r="M36" s="231"/>
      <c r="N36" s="231"/>
      <c r="O36" s="231"/>
      <c r="P36" s="231"/>
      <c r="Q36" s="231"/>
      <c r="R36" s="231"/>
      <c r="S36" s="241"/>
      <c r="T36" s="4"/>
      <c r="AL36" s="15"/>
    </row>
    <row r="37" spans="1:38">
      <c r="A37" s="240"/>
      <c r="B37" s="231"/>
      <c r="C37" s="231"/>
      <c r="D37" s="231"/>
      <c r="E37" s="231"/>
      <c r="F37" s="231"/>
      <c r="G37" s="231"/>
      <c r="H37" s="231"/>
      <c r="I37" s="231"/>
      <c r="J37" s="231"/>
      <c r="K37" s="231"/>
      <c r="L37" s="231"/>
      <c r="M37" s="231"/>
      <c r="N37" s="231"/>
      <c r="O37" s="231"/>
      <c r="P37" s="231"/>
      <c r="Q37" s="231"/>
      <c r="R37" s="231"/>
      <c r="S37" s="241"/>
      <c r="T37" s="4"/>
      <c r="AL37" s="15"/>
    </row>
    <row r="38" spans="1:38">
      <c r="A38" s="240"/>
      <c r="B38" s="231"/>
      <c r="C38" s="231"/>
      <c r="D38" s="231"/>
      <c r="E38" s="231"/>
      <c r="F38" s="231"/>
      <c r="G38" s="231"/>
      <c r="H38" s="231"/>
      <c r="I38" s="231"/>
      <c r="J38" s="231"/>
      <c r="K38" s="231"/>
      <c r="L38" s="231"/>
      <c r="M38" s="231"/>
      <c r="N38" s="231"/>
      <c r="O38" s="231"/>
      <c r="P38" s="231"/>
      <c r="Q38" s="231"/>
      <c r="R38" s="231"/>
      <c r="S38" s="241"/>
      <c r="T38" s="4"/>
      <c r="AL38" s="15"/>
    </row>
    <row r="39" spans="1:38">
      <c r="A39" s="240"/>
      <c r="B39" s="231"/>
      <c r="C39" s="231"/>
      <c r="D39" s="231"/>
      <c r="E39" s="231"/>
      <c r="F39" s="231"/>
      <c r="G39" s="231"/>
      <c r="H39" s="231"/>
      <c r="I39" s="231"/>
      <c r="J39" s="231"/>
      <c r="K39" s="231"/>
      <c r="L39" s="231"/>
      <c r="M39" s="231"/>
      <c r="N39" s="231"/>
      <c r="O39" s="231"/>
      <c r="P39" s="231"/>
      <c r="Q39" s="231"/>
      <c r="R39" s="231"/>
      <c r="S39" s="241"/>
      <c r="T39" s="4"/>
      <c r="AL39" s="15"/>
    </row>
    <row r="40" spans="1:38">
      <c r="A40" s="240"/>
      <c r="B40" s="231"/>
      <c r="C40" s="231"/>
      <c r="D40" s="231"/>
      <c r="E40" s="231"/>
      <c r="F40" s="231"/>
      <c r="G40" s="231"/>
      <c r="H40" s="231"/>
      <c r="I40" s="231"/>
      <c r="J40" s="231"/>
      <c r="K40" s="231"/>
      <c r="L40" s="231"/>
      <c r="M40" s="231"/>
      <c r="N40" s="231"/>
      <c r="O40" s="231"/>
      <c r="P40" s="231"/>
      <c r="Q40" s="231"/>
      <c r="R40" s="231"/>
      <c r="S40" s="241"/>
      <c r="T40" s="4"/>
      <c r="AL40" s="15"/>
    </row>
    <row r="41" spans="1:38">
      <c r="A41" s="240"/>
      <c r="B41" s="231"/>
      <c r="C41" s="231"/>
      <c r="D41" s="231"/>
      <c r="E41" s="231"/>
      <c r="F41" s="231"/>
      <c r="G41" s="231"/>
      <c r="H41" s="231"/>
      <c r="I41" s="231"/>
      <c r="J41" s="231"/>
      <c r="K41" s="231"/>
      <c r="L41" s="231"/>
      <c r="M41" s="231"/>
      <c r="N41" s="231"/>
      <c r="O41" s="231"/>
      <c r="P41" s="231"/>
      <c r="Q41" s="231"/>
      <c r="R41" s="231"/>
      <c r="S41" s="241"/>
      <c r="T41" s="4"/>
      <c r="AL41" s="15"/>
    </row>
    <row r="42" spans="1:38">
      <c r="A42" s="240"/>
      <c r="B42" s="231"/>
      <c r="C42" s="231"/>
      <c r="D42" s="231"/>
      <c r="E42" s="231"/>
      <c r="F42" s="231"/>
      <c r="G42" s="231"/>
      <c r="H42" s="231"/>
      <c r="I42" s="231"/>
      <c r="J42" s="231"/>
      <c r="K42" s="231"/>
      <c r="L42" s="231"/>
      <c r="M42" s="231"/>
      <c r="N42" s="231"/>
      <c r="O42" s="231"/>
      <c r="P42" s="231"/>
      <c r="Q42" s="231"/>
      <c r="R42" s="231"/>
      <c r="S42" s="241"/>
      <c r="T42" s="4"/>
      <c r="AL42" s="15"/>
    </row>
    <row r="43" spans="1:38">
      <c r="A43" s="240"/>
      <c r="B43" s="231"/>
      <c r="C43" s="231"/>
      <c r="D43" s="231"/>
      <c r="E43" s="231"/>
      <c r="F43" s="231"/>
      <c r="G43" s="231"/>
      <c r="H43" s="231"/>
      <c r="I43" s="231"/>
      <c r="J43" s="231"/>
      <c r="K43" s="231"/>
      <c r="L43" s="231"/>
      <c r="M43" s="231"/>
      <c r="N43" s="231"/>
      <c r="O43" s="231"/>
      <c r="P43" s="231"/>
      <c r="Q43" s="231"/>
      <c r="R43" s="231"/>
      <c r="S43" s="241"/>
      <c r="T43" s="4"/>
      <c r="AL43" s="15"/>
    </row>
    <row r="44" spans="1:38">
      <c r="A44" s="240"/>
      <c r="B44" s="231"/>
      <c r="C44" s="231"/>
      <c r="D44" s="231"/>
      <c r="E44" s="231"/>
      <c r="F44" s="231"/>
      <c r="G44" s="231"/>
      <c r="H44" s="231"/>
      <c r="I44" s="231"/>
      <c r="J44" s="231"/>
      <c r="K44" s="231"/>
      <c r="L44" s="231"/>
      <c r="M44" s="231"/>
      <c r="N44" s="231"/>
      <c r="O44" s="231"/>
      <c r="P44" s="231"/>
      <c r="Q44" s="231"/>
      <c r="R44" s="231"/>
      <c r="S44" s="241"/>
      <c r="T44" s="4"/>
      <c r="AL44" s="15"/>
    </row>
    <row r="45" spans="1:38">
      <c r="A45" s="240"/>
      <c r="B45" s="231"/>
      <c r="C45" s="231"/>
      <c r="D45" s="231"/>
      <c r="E45" s="231"/>
      <c r="F45" s="231"/>
      <c r="G45" s="231"/>
      <c r="H45" s="231"/>
      <c r="I45" s="231"/>
      <c r="J45" s="231"/>
      <c r="K45" s="231"/>
      <c r="L45" s="231"/>
      <c r="M45" s="231"/>
      <c r="N45" s="231"/>
      <c r="O45" s="231"/>
      <c r="P45" s="231"/>
      <c r="Q45" s="231"/>
      <c r="R45" s="231"/>
      <c r="S45" s="241"/>
      <c r="T45" s="4"/>
      <c r="AL45" s="15"/>
    </row>
    <row r="46" spans="1:38">
      <c r="A46" s="240"/>
      <c r="B46" s="231"/>
      <c r="C46" s="231"/>
      <c r="D46" s="231"/>
      <c r="E46" s="231"/>
      <c r="F46" s="231"/>
      <c r="G46" s="231"/>
      <c r="H46" s="231"/>
      <c r="I46" s="231"/>
      <c r="J46" s="231"/>
      <c r="K46" s="231"/>
      <c r="L46" s="231"/>
      <c r="M46" s="231"/>
      <c r="N46" s="231"/>
      <c r="O46" s="231"/>
      <c r="P46" s="231"/>
      <c r="Q46" s="231"/>
      <c r="R46" s="231"/>
      <c r="S46" s="241"/>
      <c r="T46" s="4"/>
      <c r="AL46" s="15"/>
    </row>
    <row r="47" spans="1:38">
      <c r="A47" s="240"/>
      <c r="B47" s="231"/>
      <c r="C47" s="231"/>
      <c r="D47" s="231"/>
      <c r="E47" s="231"/>
      <c r="F47" s="231"/>
      <c r="G47" s="231"/>
      <c r="H47" s="231"/>
      <c r="I47" s="231"/>
      <c r="J47" s="231"/>
      <c r="K47" s="231"/>
      <c r="L47" s="231"/>
      <c r="M47" s="231"/>
      <c r="N47" s="231"/>
      <c r="O47" s="231"/>
      <c r="P47" s="231"/>
      <c r="Q47" s="231"/>
      <c r="R47" s="231"/>
      <c r="S47" s="241"/>
      <c r="T47" s="4"/>
      <c r="AL47" s="15"/>
    </row>
    <row r="48" spans="1:38">
      <c r="A48" s="240"/>
      <c r="B48" s="231"/>
      <c r="C48" s="231"/>
      <c r="D48" s="231"/>
      <c r="E48" s="231"/>
      <c r="F48" s="231"/>
      <c r="G48" s="231"/>
      <c r="H48" s="231"/>
      <c r="I48" s="231"/>
      <c r="J48" s="231"/>
      <c r="K48" s="231"/>
      <c r="L48" s="231"/>
      <c r="M48" s="231"/>
      <c r="N48" s="231"/>
      <c r="O48" s="231"/>
      <c r="P48" s="231"/>
      <c r="Q48" s="231"/>
      <c r="R48" s="231"/>
      <c r="S48" s="241"/>
      <c r="T48" s="4"/>
      <c r="AL48" s="15"/>
    </row>
    <row r="49" spans="1:38">
      <c r="A49" s="240"/>
      <c r="B49" s="231"/>
      <c r="C49" s="231"/>
      <c r="D49" s="231"/>
      <c r="E49" s="231"/>
      <c r="F49" s="231"/>
      <c r="G49" s="231"/>
      <c r="H49" s="231"/>
      <c r="I49" s="231"/>
      <c r="J49" s="231"/>
      <c r="K49" s="231"/>
      <c r="L49" s="231"/>
      <c r="M49" s="231"/>
      <c r="N49" s="231"/>
      <c r="O49" s="231"/>
      <c r="P49" s="231"/>
      <c r="Q49" s="231"/>
      <c r="R49" s="231"/>
      <c r="S49" s="241"/>
      <c r="T49" s="4"/>
      <c r="AL49" s="15"/>
    </row>
    <row r="50" spans="1:38">
      <c r="A50" s="240"/>
      <c r="B50" s="231"/>
      <c r="C50" s="231"/>
      <c r="D50" s="231"/>
      <c r="E50" s="231"/>
      <c r="F50" s="231"/>
      <c r="G50" s="231"/>
      <c r="H50" s="231"/>
      <c r="I50" s="231"/>
      <c r="J50" s="231"/>
      <c r="K50" s="231"/>
      <c r="L50" s="231"/>
      <c r="M50" s="231"/>
      <c r="N50" s="231"/>
      <c r="O50" s="231"/>
      <c r="P50" s="231"/>
      <c r="Q50" s="231"/>
      <c r="R50" s="231"/>
      <c r="S50" s="241"/>
      <c r="T50" s="4"/>
      <c r="AL50" s="15"/>
    </row>
    <row r="51" spans="1:38">
      <c r="A51" s="240"/>
      <c r="B51" s="231"/>
      <c r="C51" s="231"/>
      <c r="D51" s="231"/>
      <c r="E51" s="231"/>
      <c r="F51" s="231"/>
      <c r="G51" s="231"/>
      <c r="H51" s="231"/>
      <c r="I51" s="231"/>
      <c r="J51" s="231"/>
      <c r="K51" s="231"/>
      <c r="L51" s="231"/>
      <c r="M51" s="231"/>
      <c r="N51" s="231"/>
      <c r="O51" s="231"/>
      <c r="P51" s="231"/>
      <c r="Q51" s="231"/>
      <c r="R51" s="231"/>
      <c r="S51" s="241"/>
      <c r="T51" s="4"/>
      <c r="AL51" s="15"/>
    </row>
    <row r="52" spans="1:38">
      <c r="A52" s="240"/>
      <c r="B52" s="231"/>
      <c r="C52" s="231"/>
      <c r="D52" s="231"/>
      <c r="E52" s="231"/>
      <c r="F52" s="231"/>
      <c r="G52" s="231"/>
      <c r="H52" s="231"/>
      <c r="I52" s="231"/>
      <c r="J52" s="231"/>
      <c r="K52" s="231"/>
      <c r="L52" s="231"/>
      <c r="M52" s="231"/>
      <c r="N52" s="231"/>
      <c r="O52" s="231"/>
      <c r="P52" s="231"/>
      <c r="Q52" s="231"/>
      <c r="R52" s="231"/>
      <c r="S52" s="241"/>
      <c r="T52" s="4"/>
      <c r="AL52" s="15"/>
    </row>
    <row r="53" spans="1:38">
      <c r="A53" s="240"/>
      <c r="B53" s="231"/>
      <c r="C53" s="231"/>
      <c r="D53" s="231"/>
      <c r="E53" s="231"/>
      <c r="F53" s="231"/>
      <c r="G53" s="231"/>
      <c r="H53" s="231"/>
      <c r="I53" s="231"/>
      <c r="J53" s="231"/>
      <c r="K53" s="231"/>
      <c r="L53" s="231"/>
      <c r="M53" s="231"/>
      <c r="N53" s="231"/>
      <c r="O53" s="231"/>
      <c r="P53" s="231"/>
      <c r="Q53" s="231"/>
      <c r="R53" s="231"/>
      <c r="S53" s="241"/>
      <c r="T53" s="4"/>
      <c r="AL53" s="15"/>
    </row>
    <row r="54" spans="1:38">
      <c r="A54" s="240"/>
      <c r="B54" s="231"/>
      <c r="C54" s="231"/>
      <c r="D54" s="231"/>
      <c r="E54" s="231"/>
      <c r="F54" s="231"/>
      <c r="G54" s="231"/>
      <c r="H54" s="231"/>
      <c r="I54" s="231"/>
      <c r="J54" s="231"/>
      <c r="K54" s="231"/>
      <c r="L54" s="231"/>
      <c r="M54" s="231"/>
      <c r="N54" s="231"/>
      <c r="O54" s="231"/>
      <c r="P54" s="231"/>
      <c r="Q54" s="231"/>
      <c r="R54" s="231"/>
      <c r="S54" s="241"/>
      <c r="T54" s="4"/>
      <c r="AL54" s="15"/>
    </row>
    <row r="55" spans="1:38">
      <c r="A55" s="240"/>
      <c r="B55" s="231"/>
      <c r="C55" s="231"/>
      <c r="D55" s="231"/>
      <c r="E55" s="231"/>
      <c r="F55" s="231"/>
      <c r="G55" s="231"/>
      <c r="H55" s="231"/>
      <c r="I55" s="231"/>
      <c r="J55" s="231"/>
      <c r="K55" s="231"/>
      <c r="L55" s="231"/>
      <c r="M55" s="231"/>
      <c r="N55" s="231"/>
      <c r="O55" s="231"/>
      <c r="P55" s="231"/>
      <c r="Q55" s="231"/>
      <c r="R55" s="231"/>
      <c r="S55" s="241"/>
      <c r="T55" s="4"/>
      <c r="AL55" s="15"/>
    </row>
    <row r="56" spans="1:38">
      <c r="A56" s="240"/>
      <c r="B56" s="231"/>
      <c r="C56" s="231"/>
      <c r="D56" s="231"/>
      <c r="E56" s="231"/>
      <c r="F56" s="231"/>
      <c r="G56" s="231"/>
      <c r="H56" s="231"/>
      <c r="I56" s="231"/>
      <c r="J56" s="231"/>
      <c r="K56" s="231"/>
      <c r="L56" s="231"/>
      <c r="M56" s="231"/>
      <c r="N56" s="231"/>
      <c r="O56" s="231"/>
      <c r="P56" s="231"/>
      <c r="Q56" s="231"/>
      <c r="R56" s="231"/>
      <c r="S56" s="241"/>
      <c r="T56" s="4"/>
      <c r="AL56" s="15"/>
    </row>
    <row r="57" spans="1:38">
      <c r="A57" s="242"/>
      <c r="B57" s="243"/>
      <c r="C57" s="243"/>
      <c r="D57" s="243"/>
      <c r="E57" s="243"/>
      <c r="F57" s="243"/>
      <c r="G57" s="243"/>
      <c r="H57" s="243"/>
      <c r="I57" s="243"/>
      <c r="J57" s="243"/>
      <c r="K57" s="243"/>
      <c r="L57" s="243"/>
      <c r="M57" s="243"/>
      <c r="N57" s="243"/>
      <c r="O57" s="243"/>
      <c r="P57" s="243"/>
      <c r="Q57" s="243"/>
      <c r="R57" s="243"/>
      <c r="S57" s="24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B4l6zOPi/LRerNgvpYAS5stjJjCZygAJQkBuntMk8i/7qzgOuI+o5k9NxRKlJqPmf7tQMVmThJQtDU4vflPVFQ==" saltValue="Ms+C5ofKjf3V+Z3V3hbCMg==" spinCount="100000" sheet="1" scenarios="1" insertHyperlinks="0"/>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237" t="s">
        <v>996</v>
      </c>
      <c r="B1" s="1237"/>
      <c r="C1" s="1237"/>
      <c r="D1" s="1237"/>
      <c r="E1" s="1237"/>
      <c r="F1" s="1237"/>
      <c r="G1" s="1237"/>
      <c r="H1" s="1237"/>
      <c r="I1" s="1237"/>
      <c r="J1" s="1237"/>
      <c r="K1" s="1237"/>
      <c r="L1" s="1237"/>
      <c r="M1" s="1237"/>
      <c r="N1" s="1237"/>
      <c r="O1" s="1237"/>
      <c r="P1" s="1237"/>
      <c r="Q1" s="1237"/>
      <c r="R1" s="1237"/>
      <c r="S1" s="1237"/>
    </row>
    <row r="2" spans="1:21">
      <c r="A2" s="320"/>
      <c r="B2" s="321"/>
      <c r="C2" s="321"/>
      <c r="D2" s="321"/>
      <c r="E2" s="321"/>
      <c r="F2" s="321"/>
      <c r="G2" s="321"/>
      <c r="H2" s="321"/>
      <c r="I2" s="321"/>
      <c r="J2" s="321"/>
      <c r="K2" s="321"/>
      <c r="L2" s="321"/>
      <c r="M2" s="321"/>
      <c r="N2" s="321"/>
      <c r="O2" s="321"/>
      <c r="P2" s="321"/>
      <c r="Q2" s="321"/>
      <c r="R2" s="321"/>
      <c r="S2" s="321"/>
      <c r="U2" s="194"/>
    </row>
    <row r="3" spans="1:21">
      <c r="A3" s="322"/>
      <c r="B3" s="323" t="s">
        <v>997</v>
      </c>
      <c r="C3" s="323"/>
      <c r="D3" s="323"/>
      <c r="E3" s="323"/>
      <c r="F3" s="323"/>
      <c r="G3" s="323"/>
      <c r="H3" s="323"/>
      <c r="I3" s="323"/>
      <c r="J3" s="323"/>
      <c r="K3" s="323"/>
      <c r="L3" s="323"/>
      <c r="M3" s="323"/>
      <c r="N3" s="323"/>
      <c r="O3" s="323"/>
      <c r="P3" s="323"/>
      <c r="Q3" s="323"/>
      <c r="R3" s="323"/>
      <c r="S3" s="323"/>
      <c r="U3" s="194"/>
    </row>
    <row r="4" spans="1:21">
      <c r="A4" s="322"/>
      <c r="B4" s="323"/>
      <c r="C4" s="323"/>
      <c r="D4" s="323"/>
      <c r="E4" s="323"/>
      <c r="F4" s="323"/>
      <c r="G4" s="323"/>
      <c r="H4" s="323"/>
      <c r="I4" s="323"/>
      <c r="J4" s="323"/>
      <c r="K4" s="323"/>
      <c r="L4" s="323"/>
      <c r="M4" s="323"/>
      <c r="N4" s="323"/>
      <c r="O4" s="323"/>
      <c r="P4" s="323"/>
      <c r="Q4" s="323"/>
      <c r="R4" s="323"/>
      <c r="S4" s="323"/>
    </row>
    <row r="5" spans="1:21">
      <c r="A5" s="322"/>
      <c r="B5" s="324" t="s">
        <v>998</v>
      </c>
      <c r="C5" s="323"/>
      <c r="D5" s="323"/>
      <c r="E5" s="323"/>
      <c r="F5" s="323"/>
      <c r="G5" s="323"/>
      <c r="H5" s="323"/>
      <c r="I5" s="323"/>
      <c r="J5" s="323"/>
      <c r="K5" s="323"/>
      <c r="L5" s="323"/>
      <c r="M5" s="323"/>
      <c r="N5" s="323"/>
      <c r="O5" s="323"/>
      <c r="P5" s="323"/>
      <c r="Q5" s="323"/>
      <c r="R5" s="323"/>
      <c r="S5" s="323"/>
      <c r="U5" s="194"/>
    </row>
    <row r="6" spans="1:21">
      <c r="A6" s="322"/>
      <c r="B6" s="323"/>
      <c r="C6" s="323"/>
      <c r="D6" s="323"/>
      <c r="E6" s="323"/>
      <c r="F6" s="323"/>
      <c r="G6" s="323"/>
      <c r="H6" s="323"/>
      <c r="I6" s="323"/>
      <c r="J6" s="323"/>
      <c r="K6" s="323"/>
      <c r="L6" s="323"/>
      <c r="M6" s="323"/>
      <c r="N6" s="323"/>
      <c r="O6" s="323"/>
      <c r="P6" s="323"/>
      <c r="Q6" s="323"/>
      <c r="R6" s="323"/>
      <c r="S6" s="323"/>
    </row>
    <row r="7" spans="1:21">
      <c r="A7" s="322"/>
      <c r="B7" s="323" t="s">
        <v>999</v>
      </c>
      <c r="C7" s="323"/>
      <c r="D7" s="323"/>
      <c r="E7" s="323"/>
      <c r="F7" s="323"/>
      <c r="G7" s="323"/>
      <c r="H7" s="323"/>
      <c r="I7" s="323"/>
      <c r="J7" s="323"/>
      <c r="K7" s="323"/>
      <c r="L7" s="323"/>
      <c r="M7" s="323"/>
      <c r="N7" s="323"/>
      <c r="O7" s="323"/>
      <c r="P7" s="323"/>
      <c r="Q7" s="323"/>
      <c r="R7" s="323"/>
      <c r="S7" s="323"/>
    </row>
    <row r="8" spans="1:21">
      <c r="A8" s="322"/>
      <c r="B8" s="323" t="s">
        <v>1000</v>
      </c>
      <c r="C8" s="323"/>
      <c r="D8" s="323"/>
      <c r="E8" s="323"/>
      <c r="F8" s="323"/>
      <c r="G8" s="323"/>
      <c r="H8" s="323"/>
      <c r="I8" s="323"/>
      <c r="J8" s="323"/>
      <c r="K8" s="323"/>
      <c r="L8" s="323"/>
      <c r="M8" s="323"/>
      <c r="N8" s="323"/>
      <c r="O8" s="323"/>
      <c r="P8" s="323"/>
      <c r="Q8" s="323"/>
      <c r="R8" s="323"/>
      <c r="S8" s="323"/>
    </row>
    <row r="9" spans="1:21">
      <c r="A9" s="322"/>
      <c r="B9" s="323" t="s">
        <v>1001</v>
      </c>
      <c r="C9" s="323"/>
      <c r="D9" s="323"/>
      <c r="E9" s="323"/>
      <c r="F9" s="323"/>
      <c r="G9" s="323"/>
      <c r="H9" s="323"/>
      <c r="I9" s="323"/>
      <c r="J9" s="323"/>
      <c r="K9" s="323"/>
      <c r="L9" s="323"/>
      <c r="M9" s="323"/>
      <c r="N9" s="323"/>
      <c r="O9" s="323"/>
      <c r="P9" s="323"/>
      <c r="Q9" s="323"/>
      <c r="R9" s="323"/>
      <c r="S9" s="323"/>
    </row>
    <row r="10" spans="1:21">
      <c r="A10" s="322"/>
      <c r="B10" s="323"/>
      <c r="C10" s="323"/>
      <c r="D10" s="324"/>
      <c r="E10" s="323"/>
      <c r="F10" s="323"/>
      <c r="G10" s="323"/>
      <c r="H10" s="323"/>
      <c r="I10" s="323"/>
      <c r="J10" s="323"/>
      <c r="K10" s="323"/>
      <c r="L10" s="323"/>
      <c r="M10" s="323"/>
      <c r="N10" s="323"/>
      <c r="O10" s="323"/>
      <c r="P10" s="323"/>
      <c r="Q10" s="323"/>
      <c r="R10" s="323"/>
      <c r="S10" s="323"/>
    </row>
    <row r="11" spans="1:21" ht="13.25" customHeight="1">
      <c r="A11" s="322"/>
      <c r="B11" s="1553" t="s">
        <v>1002</v>
      </c>
      <c r="C11" s="1553"/>
      <c r="D11" s="1553"/>
      <c r="E11" s="1553"/>
      <c r="F11" s="1553"/>
      <c r="G11" s="1553"/>
      <c r="H11" s="1553"/>
      <c r="I11" s="1553"/>
      <c r="J11" s="1553"/>
      <c r="K11" s="1553"/>
      <c r="L11" s="1553"/>
      <c r="M11" s="1553"/>
      <c r="N11" s="1553"/>
      <c r="O11" s="1553"/>
      <c r="P11" s="1553"/>
      <c r="Q11" s="1553"/>
      <c r="R11" s="1553"/>
      <c r="S11" s="1553"/>
    </row>
    <row r="12" spans="1:21">
      <c r="A12" s="322"/>
      <c r="B12" s="1553"/>
      <c r="C12" s="1553"/>
      <c r="D12" s="1553"/>
      <c r="E12" s="1553"/>
      <c r="F12" s="1553"/>
      <c r="G12" s="1553"/>
      <c r="H12" s="1553"/>
      <c r="I12" s="1553"/>
      <c r="J12" s="1553"/>
      <c r="K12" s="1553"/>
      <c r="L12" s="1553"/>
      <c r="M12" s="1553"/>
      <c r="N12" s="1553"/>
      <c r="O12" s="1553"/>
      <c r="P12" s="1553"/>
      <c r="Q12" s="1553"/>
      <c r="R12" s="1553"/>
      <c r="S12" s="1553"/>
    </row>
    <row r="13" spans="1:21">
      <c r="A13" s="322"/>
      <c r="B13" s="324"/>
      <c r="C13" s="323"/>
      <c r="D13" s="323"/>
      <c r="E13" s="323"/>
      <c r="F13" s="323"/>
      <c r="G13" s="323"/>
      <c r="H13" s="323"/>
      <c r="I13" s="323"/>
      <c r="J13" s="323"/>
      <c r="K13" s="323"/>
      <c r="L13" s="323"/>
      <c r="M13" s="323"/>
      <c r="N13" s="323"/>
      <c r="O13" s="323"/>
      <c r="P13" s="323"/>
      <c r="Q13" s="323"/>
      <c r="R13" s="323"/>
      <c r="S13" s="323"/>
    </row>
    <row r="14" spans="1:21">
      <c r="A14" s="322"/>
      <c r="B14" s="325" t="s">
        <v>1003</v>
      </c>
      <c r="C14" s="323"/>
      <c r="D14" s="323"/>
      <c r="E14" s="323"/>
      <c r="F14" s="323"/>
      <c r="G14" s="323"/>
      <c r="H14" s="323"/>
      <c r="I14" s="323"/>
      <c r="J14" s="323"/>
      <c r="K14" s="323"/>
      <c r="L14" s="323"/>
      <c r="M14" s="323"/>
      <c r="N14" s="323"/>
      <c r="O14" s="323"/>
      <c r="P14" s="323"/>
      <c r="Q14" s="323"/>
      <c r="R14" s="323"/>
      <c r="S14" s="323"/>
    </row>
    <row r="15" spans="1:21">
      <c r="A15" s="322"/>
      <c r="B15" s="325" t="s">
        <v>1004</v>
      </c>
      <c r="C15" s="323"/>
      <c r="D15" s="323"/>
      <c r="E15" s="323"/>
      <c r="F15" s="323"/>
      <c r="G15" s="323"/>
      <c r="H15" s="323"/>
      <c r="I15" s="323"/>
      <c r="J15" s="323"/>
      <c r="K15" s="323"/>
      <c r="L15" s="323"/>
      <c r="M15" s="323"/>
      <c r="N15" s="323"/>
      <c r="O15" s="323"/>
      <c r="P15" s="323"/>
      <c r="Q15" s="323"/>
      <c r="R15" s="323"/>
      <c r="S15" s="323"/>
    </row>
    <row r="16" spans="1:21">
      <c r="A16" s="322"/>
      <c r="B16" s="326"/>
      <c r="C16" s="323"/>
      <c r="D16" s="323"/>
      <c r="E16" s="323"/>
      <c r="F16" s="323"/>
      <c r="G16" s="323"/>
      <c r="H16" s="323"/>
      <c r="I16" s="323"/>
      <c r="J16" s="323"/>
      <c r="K16" s="323"/>
      <c r="L16" s="323"/>
      <c r="M16" s="323"/>
      <c r="N16" s="323"/>
      <c r="O16" s="323"/>
      <c r="P16" s="323"/>
      <c r="Q16" s="323"/>
      <c r="R16" s="323"/>
      <c r="S16" s="323"/>
    </row>
    <row r="17" spans="1:19">
      <c r="A17" s="322"/>
      <c r="B17" s="1554" t="s">
        <v>1005</v>
      </c>
      <c r="C17" s="1554"/>
      <c r="D17" s="1554"/>
      <c r="E17" s="1554"/>
      <c r="F17" s="1554"/>
      <c r="G17" s="1554"/>
      <c r="H17" s="1554"/>
      <c r="I17" s="1554"/>
      <c r="J17" s="1554"/>
      <c r="K17" s="1554"/>
      <c r="L17" s="1554"/>
      <c r="M17" s="1554"/>
      <c r="N17" s="1554"/>
      <c r="O17" s="1554"/>
      <c r="P17" s="1554"/>
      <c r="Q17" s="1554"/>
      <c r="R17" s="1554"/>
      <c r="S17" s="1554"/>
    </row>
    <row r="18" spans="1:19">
      <c r="A18" s="322"/>
      <c r="B18" s="1554"/>
      <c r="C18" s="1554"/>
      <c r="D18" s="1554"/>
      <c r="E18" s="1554"/>
      <c r="F18" s="1554"/>
      <c r="G18" s="1554"/>
      <c r="H18" s="1554"/>
      <c r="I18" s="1554"/>
      <c r="J18" s="1554"/>
      <c r="K18" s="1554"/>
      <c r="L18" s="1554"/>
      <c r="M18" s="1554"/>
      <c r="N18" s="1554"/>
      <c r="O18" s="1554"/>
      <c r="P18" s="1554"/>
      <c r="Q18" s="1554"/>
      <c r="R18" s="1554"/>
      <c r="S18" s="1554"/>
    </row>
    <row r="19" spans="1:19">
      <c r="A19" s="322"/>
      <c r="B19" s="324"/>
      <c r="C19" s="323"/>
      <c r="D19" s="323"/>
      <c r="E19" s="323"/>
      <c r="F19" s="323"/>
      <c r="G19" s="323"/>
      <c r="H19" s="323"/>
      <c r="I19" s="323"/>
      <c r="J19" s="323"/>
      <c r="K19" s="323"/>
      <c r="L19" s="323"/>
      <c r="M19" s="323"/>
      <c r="N19" s="323"/>
      <c r="O19" s="323"/>
      <c r="P19" s="323"/>
      <c r="Q19" s="323"/>
      <c r="R19" s="323"/>
      <c r="S19" s="323"/>
    </row>
    <row r="20" spans="1:19">
      <c r="A20" s="322"/>
      <c r="B20" s="324" t="s">
        <v>1006</v>
      </c>
      <c r="C20" s="324"/>
      <c r="D20" s="323"/>
      <c r="E20" s="323"/>
      <c r="F20" s="323"/>
      <c r="G20" s="323"/>
      <c r="H20" s="323"/>
      <c r="I20" s="323"/>
      <c r="J20" s="323"/>
      <c r="K20" s="323"/>
      <c r="L20" s="323"/>
      <c r="M20" s="323"/>
      <c r="N20" s="323"/>
      <c r="O20" s="323"/>
      <c r="P20" s="323"/>
      <c r="Q20" s="323"/>
      <c r="R20" s="323"/>
      <c r="S20" s="323"/>
    </row>
    <row r="21" spans="1:19">
      <c r="A21" s="322"/>
      <c r="B21" s="324" t="s">
        <v>1007</v>
      </c>
      <c r="C21" s="323"/>
      <c r="D21" s="323"/>
      <c r="E21" s="323"/>
      <c r="F21" s="323"/>
      <c r="G21" s="323"/>
      <c r="H21" s="323"/>
      <c r="I21" s="323"/>
      <c r="J21" s="323"/>
      <c r="K21" s="323"/>
      <c r="L21" s="323"/>
      <c r="M21" s="323"/>
      <c r="N21" s="323"/>
      <c r="O21" s="323"/>
      <c r="P21" s="323"/>
      <c r="Q21" s="323"/>
      <c r="R21" s="323"/>
      <c r="S21" s="323"/>
    </row>
    <row r="22" spans="1:19">
      <c r="A22" s="322"/>
      <c r="B22" s="327"/>
      <c r="C22" s="323"/>
      <c r="D22" s="323"/>
      <c r="E22" s="323"/>
      <c r="F22" s="323"/>
      <c r="G22" s="323"/>
      <c r="H22" s="323"/>
      <c r="I22" s="323"/>
      <c r="J22" s="323"/>
      <c r="K22" s="323"/>
      <c r="L22" s="323"/>
      <c r="M22" s="323"/>
      <c r="N22" s="323"/>
      <c r="O22" s="323"/>
      <c r="P22" s="323"/>
      <c r="Q22" s="323"/>
      <c r="R22" s="323"/>
      <c r="S22" s="323"/>
    </row>
    <row r="23" spans="1:19">
      <c r="A23" s="322"/>
      <c r="B23" s="327"/>
      <c r="C23" s="323"/>
      <c r="D23" s="323"/>
      <c r="E23" s="323"/>
      <c r="F23" s="323"/>
      <c r="G23" s="323"/>
      <c r="H23" s="323"/>
      <c r="I23" s="323"/>
      <c r="J23" s="323"/>
      <c r="K23" s="323"/>
      <c r="L23" s="323"/>
      <c r="M23" s="323"/>
      <c r="N23" s="323"/>
      <c r="O23" s="323"/>
      <c r="P23" s="323"/>
      <c r="Q23" s="323"/>
      <c r="R23" s="323"/>
      <c r="S23" s="323"/>
    </row>
    <row r="24" spans="1:19">
      <c r="A24" s="322"/>
      <c r="B24" s="328" t="s">
        <v>1008</v>
      </c>
      <c r="C24" s="323"/>
      <c r="D24" s="323"/>
      <c r="E24" s="323"/>
      <c r="F24" s="323"/>
      <c r="G24" s="323"/>
      <c r="H24" s="323"/>
      <c r="I24" s="323"/>
      <c r="J24" s="323"/>
      <c r="K24" s="323"/>
      <c r="L24" s="323"/>
      <c r="M24" s="323"/>
      <c r="N24" s="323"/>
      <c r="O24" s="323"/>
      <c r="P24" s="323"/>
      <c r="Q24" s="323"/>
      <c r="R24" s="323"/>
      <c r="S24" s="323"/>
    </row>
    <row r="25" spans="1:19">
      <c r="A25" s="322"/>
      <c r="C25" s="323"/>
      <c r="D25" s="323"/>
      <c r="E25" s="323"/>
      <c r="F25" s="323"/>
      <c r="G25" s="323"/>
      <c r="H25" s="323"/>
      <c r="I25" s="323"/>
      <c r="J25" s="323"/>
      <c r="K25" s="323"/>
      <c r="L25" s="323"/>
      <c r="M25" s="323"/>
      <c r="N25" s="323"/>
      <c r="O25" s="323"/>
      <c r="P25" s="323"/>
      <c r="Q25" s="323"/>
      <c r="R25" s="323"/>
      <c r="S25" s="323"/>
    </row>
    <row r="26" spans="1:19">
      <c r="A26" s="322"/>
      <c r="B26" s="329" t="s">
        <v>757</v>
      </c>
      <c r="C26" s="323"/>
      <c r="D26" s="323"/>
      <c r="E26" s="323"/>
      <c r="F26" s="323"/>
      <c r="G26" s="323"/>
      <c r="H26" s="323"/>
      <c r="I26" s="323"/>
      <c r="J26" s="323"/>
      <c r="K26" s="323"/>
      <c r="L26" s="323"/>
      <c r="M26" s="323"/>
      <c r="N26" s="323"/>
      <c r="O26" s="323"/>
      <c r="P26" s="323"/>
      <c r="Q26" s="323"/>
      <c r="R26" s="323"/>
      <c r="S26" s="323"/>
    </row>
    <row r="27" spans="1:19">
      <c r="A27" s="322"/>
      <c r="B27" s="325"/>
      <c r="C27" s="323"/>
      <c r="D27" s="323"/>
      <c r="E27" s="323"/>
      <c r="F27" s="323"/>
      <c r="G27" s="323"/>
      <c r="H27" s="323"/>
      <c r="I27" s="323"/>
      <c r="J27" s="323"/>
      <c r="K27" s="323"/>
      <c r="L27" s="323"/>
      <c r="M27" s="323"/>
      <c r="N27" s="323"/>
      <c r="O27" s="323"/>
      <c r="P27" s="323"/>
      <c r="Q27" s="323"/>
      <c r="R27" s="323"/>
      <c r="S27" s="323"/>
    </row>
    <row r="28" spans="1:19">
      <c r="A28" s="322"/>
      <c r="B28" s="326"/>
      <c r="C28" s="323"/>
      <c r="D28" s="323"/>
      <c r="E28" s="323"/>
      <c r="F28" s="323"/>
      <c r="G28" s="323"/>
      <c r="H28" s="323"/>
      <c r="I28" s="323"/>
      <c r="J28" s="323"/>
      <c r="K28" s="323"/>
      <c r="L28" s="323"/>
      <c r="M28" s="323"/>
      <c r="N28" s="323"/>
      <c r="O28" s="323"/>
      <c r="P28" s="323"/>
      <c r="Q28" s="323"/>
      <c r="R28" s="323"/>
      <c r="S28" s="323"/>
    </row>
    <row r="29" spans="1:19">
      <c r="A29" s="322"/>
      <c r="B29" s="324"/>
      <c r="C29" s="323"/>
      <c r="D29" s="323"/>
      <c r="E29" s="323"/>
      <c r="F29" s="323"/>
      <c r="G29" s="323"/>
      <c r="H29" s="323"/>
      <c r="I29" s="323"/>
      <c r="J29" s="323"/>
      <c r="K29" s="323"/>
      <c r="L29" s="323"/>
      <c r="M29" s="323"/>
      <c r="N29" s="323"/>
      <c r="O29" s="323"/>
      <c r="P29" s="323"/>
      <c r="Q29" s="323"/>
      <c r="R29" s="323"/>
      <c r="S29" s="323"/>
    </row>
    <row r="30" spans="1:19">
      <c r="A30" s="322"/>
      <c r="B30" s="324"/>
      <c r="C30" s="323"/>
      <c r="D30" s="323"/>
      <c r="E30" s="323"/>
      <c r="F30" s="323"/>
      <c r="G30" s="323"/>
      <c r="H30" s="323"/>
      <c r="I30" s="323"/>
      <c r="J30" s="323"/>
      <c r="K30" s="323"/>
      <c r="L30" s="323"/>
      <c r="M30" s="323"/>
      <c r="N30" s="323"/>
      <c r="O30" s="323"/>
      <c r="P30" s="323"/>
      <c r="Q30" s="323"/>
      <c r="R30" s="323"/>
      <c r="S30" s="323"/>
    </row>
    <row r="31" spans="1:19">
      <c r="A31" s="322"/>
      <c r="B31" s="323"/>
      <c r="C31" s="323"/>
      <c r="D31" s="323"/>
      <c r="E31" s="323"/>
      <c r="F31" s="323"/>
      <c r="G31" s="323"/>
      <c r="H31" s="323"/>
      <c r="I31" s="323"/>
      <c r="J31" s="323"/>
      <c r="K31" s="323"/>
      <c r="L31" s="323"/>
      <c r="M31" s="323"/>
      <c r="N31" s="323"/>
      <c r="O31" s="323"/>
      <c r="P31" s="323"/>
      <c r="Q31" s="323"/>
      <c r="R31" s="323"/>
      <c r="S31" s="323"/>
    </row>
    <row r="32" spans="1:19">
      <c r="A32" s="322"/>
      <c r="B32" s="323"/>
      <c r="C32" s="323"/>
      <c r="D32" s="323"/>
      <c r="E32" s="323"/>
      <c r="F32" s="323"/>
      <c r="G32" s="323"/>
      <c r="H32" s="323"/>
      <c r="I32" s="323"/>
      <c r="J32" s="323"/>
      <c r="K32" s="323"/>
      <c r="L32" s="323"/>
      <c r="M32" s="323"/>
      <c r="N32" s="323"/>
      <c r="O32" s="323"/>
      <c r="P32" s="323"/>
      <c r="Q32" s="323"/>
      <c r="R32" s="323"/>
      <c r="S32" s="323"/>
    </row>
    <row r="33" spans="1:19">
      <c r="A33" s="322"/>
      <c r="B33" s="323"/>
      <c r="C33" s="323"/>
      <c r="D33" s="323"/>
      <c r="E33" s="323"/>
      <c r="F33" s="323"/>
      <c r="G33" s="323"/>
      <c r="H33" s="323"/>
      <c r="I33" s="323"/>
      <c r="J33" s="323"/>
      <c r="K33" s="323"/>
      <c r="L33" s="323"/>
      <c r="M33" s="323"/>
      <c r="N33" s="323"/>
      <c r="O33" s="323"/>
      <c r="P33" s="323"/>
      <c r="Q33" s="323"/>
      <c r="R33" s="323"/>
      <c r="S33" s="323"/>
    </row>
    <row r="34" spans="1:19">
      <c r="A34" s="322"/>
      <c r="B34" s="323"/>
      <c r="C34" s="323"/>
      <c r="D34" s="323"/>
      <c r="E34" s="323"/>
      <c r="F34" s="323"/>
      <c r="G34" s="323"/>
      <c r="H34" s="323"/>
      <c r="I34" s="323"/>
      <c r="J34" s="323"/>
      <c r="K34" s="323"/>
      <c r="L34" s="323"/>
      <c r="M34" s="323"/>
      <c r="N34" s="323"/>
      <c r="O34" s="323"/>
      <c r="P34" s="323"/>
      <c r="Q34" s="323"/>
      <c r="R34" s="323"/>
      <c r="S34" s="323"/>
    </row>
    <row r="35" spans="1:19">
      <c r="A35" s="322"/>
      <c r="B35" s="323"/>
      <c r="C35" s="323"/>
      <c r="D35" s="323"/>
      <c r="E35" s="323"/>
      <c r="F35" s="323"/>
      <c r="G35" s="323"/>
      <c r="H35" s="323"/>
      <c r="I35" s="323"/>
      <c r="J35" s="323"/>
      <c r="K35" s="323"/>
      <c r="L35" s="323"/>
      <c r="M35" s="323"/>
      <c r="N35" s="323"/>
      <c r="O35" s="323"/>
      <c r="P35" s="323"/>
      <c r="Q35" s="323"/>
      <c r="R35" s="323"/>
      <c r="S35" s="323"/>
    </row>
    <row r="36" spans="1:19">
      <c r="A36" s="322"/>
      <c r="B36" s="323"/>
      <c r="C36" s="323"/>
      <c r="D36" s="323"/>
      <c r="E36" s="323"/>
      <c r="F36" s="323"/>
      <c r="G36" s="323"/>
      <c r="H36" s="323"/>
      <c r="I36" s="323"/>
      <c r="J36" s="323"/>
      <c r="K36" s="323"/>
      <c r="L36" s="323"/>
      <c r="M36" s="323"/>
      <c r="N36" s="323"/>
      <c r="O36" s="323"/>
      <c r="P36" s="323"/>
      <c r="Q36" s="323"/>
      <c r="R36" s="323"/>
      <c r="S36" s="323"/>
    </row>
    <row r="37" spans="1:19">
      <c r="A37" s="322"/>
      <c r="B37" s="323"/>
      <c r="C37" s="323"/>
      <c r="D37" s="323"/>
      <c r="E37" s="323"/>
      <c r="F37" s="323"/>
      <c r="G37" s="323"/>
      <c r="H37" s="323"/>
      <c r="I37" s="323"/>
      <c r="J37" s="323"/>
      <c r="K37" s="323"/>
      <c r="L37" s="323"/>
      <c r="M37" s="323"/>
      <c r="N37" s="323"/>
      <c r="O37" s="323"/>
      <c r="P37" s="323"/>
      <c r="Q37" s="323"/>
      <c r="R37" s="323"/>
      <c r="S37" s="323"/>
    </row>
    <row r="38" spans="1:19">
      <c r="A38" s="322"/>
      <c r="B38" s="323"/>
      <c r="C38" s="323"/>
      <c r="D38" s="323"/>
      <c r="E38" s="323"/>
      <c r="F38" s="323"/>
      <c r="G38" s="323"/>
      <c r="H38" s="323"/>
      <c r="I38" s="323"/>
      <c r="J38" s="323"/>
      <c r="K38" s="323"/>
      <c r="L38" s="323"/>
      <c r="M38" s="323"/>
      <c r="N38" s="323"/>
      <c r="O38" s="323"/>
      <c r="P38" s="323"/>
      <c r="Q38" s="323"/>
      <c r="R38" s="323"/>
      <c r="S38" s="323"/>
    </row>
    <row r="39" spans="1:19">
      <c r="A39" s="322"/>
      <c r="B39" s="323"/>
      <c r="C39" s="323"/>
      <c r="D39" s="323"/>
      <c r="E39" s="323"/>
      <c r="F39" s="323"/>
      <c r="G39" s="323"/>
      <c r="H39" s="323"/>
      <c r="I39" s="323"/>
      <c r="J39" s="323"/>
      <c r="K39" s="323"/>
      <c r="L39" s="323"/>
      <c r="M39" s="323"/>
      <c r="N39" s="323"/>
      <c r="O39" s="323"/>
      <c r="P39" s="323"/>
      <c r="Q39" s="323"/>
      <c r="R39" s="323"/>
      <c r="S39" s="323"/>
    </row>
    <row r="40" spans="1:19">
      <c r="A40" s="322"/>
      <c r="B40" s="323"/>
      <c r="C40" s="323"/>
      <c r="D40" s="323"/>
      <c r="E40" s="323"/>
      <c r="F40" s="323"/>
      <c r="G40" s="323"/>
      <c r="H40" s="323"/>
      <c r="I40" s="323"/>
      <c r="J40" s="323"/>
      <c r="K40" s="323"/>
      <c r="L40" s="323"/>
      <c r="M40" s="323"/>
      <c r="N40" s="323"/>
      <c r="O40" s="323"/>
      <c r="P40" s="323"/>
      <c r="Q40" s="323"/>
      <c r="R40" s="323"/>
      <c r="S40" s="323"/>
    </row>
    <row r="41" spans="1:19">
      <c r="A41" s="322"/>
      <c r="B41" s="323"/>
      <c r="C41" s="323"/>
      <c r="D41" s="323"/>
      <c r="E41" s="323"/>
      <c r="F41" s="323"/>
      <c r="G41" s="323"/>
      <c r="H41" s="323"/>
      <c r="I41" s="323"/>
      <c r="J41" s="323"/>
      <c r="K41" s="323"/>
      <c r="L41" s="323"/>
      <c r="M41" s="323"/>
      <c r="N41" s="323"/>
      <c r="O41" s="323"/>
      <c r="P41" s="323"/>
      <c r="Q41" s="323"/>
      <c r="R41" s="323"/>
      <c r="S41" s="323"/>
    </row>
    <row r="42" spans="1:19">
      <c r="A42" s="322"/>
      <c r="B42" s="323"/>
      <c r="C42" s="323"/>
      <c r="D42" s="323"/>
      <c r="E42" s="323"/>
      <c r="F42" s="323"/>
      <c r="G42" s="323"/>
      <c r="H42" s="323"/>
      <c r="I42" s="323"/>
      <c r="J42" s="323"/>
      <c r="K42" s="323"/>
      <c r="L42" s="323"/>
      <c r="M42" s="323"/>
      <c r="N42" s="323"/>
      <c r="O42" s="323"/>
      <c r="P42" s="323"/>
      <c r="Q42" s="323"/>
      <c r="R42" s="323"/>
      <c r="S42" s="323"/>
    </row>
    <row r="43" spans="1:19">
      <c r="A43" s="322"/>
      <c r="B43" s="323"/>
      <c r="C43" s="323"/>
      <c r="D43" s="323"/>
      <c r="E43" s="323"/>
      <c r="F43" s="323"/>
      <c r="G43" s="323"/>
      <c r="H43" s="323"/>
      <c r="I43" s="323"/>
      <c r="J43" s="323"/>
      <c r="K43" s="323"/>
      <c r="L43" s="323"/>
      <c r="M43" s="323"/>
      <c r="N43" s="323"/>
      <c r="O43" s="323"/>
      <c r="P43" s="323"/>
      <c r="Q43" s="323"/>
      <c r="R43" s="323"/>
      <c r="S43" s="323"/>
    </row>
    <row r="44" spans="1:19">
      <c r="A44" s="322"/>
      <c r="B44" s="323"/>
      <c r="C44" s="323"/>
      <c r="D44" s="323"/>
      <c r="E44" s="323"/>
      <c r="F44" s="323"/>
      <c r="G44" s="323"/>
      <c r="H44" s="323"/>
      <c r="I44" s="323"/>
      <c r="J44" s="323"/>
      <c r="K44" s="323"/>
      <c r="L44" s="323"/>
      <c r="M44" s="323"/>
      <c r="N44" s="323"/>
      <c r="O44" s="323"/>
      <c r="P44" s="323"/>
      <c r="Q44" s="323"/>
      <c r="R44" s="323"/>
      <c r="S44" s="323"/>
    </row>
    <row r="45" spans="1:19">
      <c r="A45" s="322"/>
      <c r="B45" s="323"/>
      <c r="C45" s="323"/>
      <c r="D45" s="323"/>
      <c r="E45" s="323"/>
      <c r="F45" s="323"/>
      <c r="G45" s="323"/>
      <c r="H45" s="323"/>
      <c r="I45" s="323"/>
      <c r="J45" s="323"/>
      <c r="K45" s="323"/>
      <c r="L45" s="323"/>
      <c r="M45" s="323"/>
      <c r="N45" s="323"/>
      <c r="O45" s="323"/>
      <c r="P45" s="323"/>
      <c r="Q45" s="323"/>
      <c r="R45" s="323"/>
      <c r="S45" s="323"/>
    </row>
    <row r="46" spans="1:19">
      <c r="A46" s="322"/>
      <c r="B46" s="323"/>
      <c r="C46" s="323"/>
      <c r="D46" s="323"/>
      <c r="E46" s="323"/>
      <c r="F46" s="323"/>
      <c r="G46" s="323"/>
      <c r="H46" s="323"/>
      <c r="I46" s="323"/>
      <c r="J46" s="323"/>
      <c r="K46" s="323"/>
      <c r="L46" s="323"/>
      <c r="M46" s="323"/>
      <c r="N46" s="323"/>
      <c r="O46" s="323"/>
      <c r="P46" s="323"/>
      <c r="Q46" s="323"/>
      <c r="R46" s="323"/>
      <c r="S46" s="323"/>
    </row>
    <row r="47" spans="1:19">
      <c r="A47" s="322"/>
      <c r="B47" s="323"/>
      <c r="C47" s="323"/>
      <c r="D47" s="323"/>
      <c r="E47" s="323"/>
      <c r="F47" s="323"/>
      <c r="G47" s="323"/>
      <c r="H47" s="323"/>
      <c r="I47" s="323"/>
      <c r="J47" s="323"/>
      <c r="K47" s="323"/>
      <c r="L47" s="323"/>
      <c r="M47" s="323"/>
      <c r="N47" s="323"/>
      <c r="O47" s="323"/>
      <c r="P47" s="323"/>
      <c r="Q47" s="323"/>
      <c r="R47" s="323"/>
      <c r="S47" s="323"/>
    </row>
    <row r="48" spans="1:19">
      <c r="A48" s="322"/>
      <c r="B48" s="323"/>
      <c r="C48" s="323"/>
      <c r="D48" s="323"/>
      <c r="E48" s="323"/>
      <c r="F48" s="323"/>
      <c r="G48" s="323"/>
      <c r="H48" s="323"/>
      <c r="I48" s="323"/>
      <c r="J48" s="323"/>
      <c r="K48" s="323"/>
      <c r="L48" s="323"/>
      <c r="M48" s="323"/>
      <c r="N48" s="323"/>
      <c r="O48" s="323"/>
      <c r="P48" s="323"/>
      <c r="Q48" s="323"/>
      <c r="R48" s="323"/>
      <c r="S48" s="323"/>
    </row>
    <row r="49" spans="1:19">
      <c r="A49" s="322"/>
      <c r="B49" s="323"/>
      <c r="C49" s="323"/>
      <c r="D49" s="323"/>
      <c r="E49" s="323"/>
      <c r="F49" s="323"/>
      <c r="G49" s="323"/>
      <c r="H49" s="323"/>
      <c r="I49" s="323"/>
      <c r="J49" s="323"/>
      <c r="K49" s="323"/>
      <c r="L49" s="323"/>
      <c r="M49" s="323"/>
      <c r="N49" s="323"/>
      <c r="O49" s="323"/>
      <c r="P49" s="323"/>
      <c r="Q49" s="323"/>
      <c r="R49" s="323"/>
      <c r="S49" s="323"/>
    </row>
    <row r="50" spans="1:19">
      <c r="A50" s="322"/>
      <c r="B50" s="323"/>
      <c r="C50" s="323"/>
      <c r="D50" s="323"/>
      <c r="E50" s="323"/>
      <c r="F50" s="323"/>
      <c r="G50" s="323"/>
      <c r="H50" s="323"/>
      <c r="I50" s="323"/>
      <c r="J50" s="323"/>
      <c r="K50" s="323"/>
      <c r="L50" s="323"/>
      <c r="M50" s="323"/>
      <c r="N50" s="323"/>
      <c r="O50" s="323"/>
      <c r="P50" s="323"/>
      <c r="Q50" s="323"/>
      <c r="R50" s="323"/>
      <c r="S50" s="323"/>
    </row>
    <row r="51" spans="1:19">
      <c r="A51" s="322"/>
      <c r="B51" s="323"/>
      <c r="C51" s="323"/>
      <c r="D51" s="323"/>
      <c r="E51" s="323"/>
      <c r="F51" s="323"/>
      <c r="G51" s="323"/>
      <c r="H51" s="323"/>
      <c r="I51" s="323"/>
      <c r="J51" s="323"/>
      <c r="K51" s="323"/>
      <c r="L51" s="323"/>
      <c r="M51" s="323"/>
      <c r="N51" s="323"/>
      <c r="O51" s="323"/>
      <c r="P51" s="323"/>
      <c r="Q51" s="323"/>
      <c r="R51" s="323"/>
      <c r="S51" s="323"/>
    </row>
    <row r="52" spans="1:19">
      <c r="A52" s="322"/>
      <c r="B52" s="323"/>
      <c r="C52" s="323"/>
      <c r="D52" s="323"/>
      <c r="E52" s="323"/>
      <c r="F52" s="323"/>
      <c r="G52" s="323"/>
      <c r="H52" s="323"/>
      <c r="I52" s="323"/>
      <c r="J52" s="323"/>
      <c r="K52" s="323"/>
      <c r="L52" s="323"/>
      <c r="M52" s="323"/>
      <c r="N52" s="323"/>
      <c r="O52" s="323"/>
      <c r="P52" s="323"/>
      <c r="Q52" s="323"/>
      <c r="R52" s="323"/>
      <c r="S52" s="323"/>
    </row>
    <row r="53" spans="1:19">
      <c r="A53" s="322"/>
      <c r="B53" s="323"/>
      <c r="C53" s="323"/>
      <c r="D53" s="323"/>
      <c r="E53" s="323"/>
      <c r="F53" s="323"/>
      <c r="G53" s="323"/>
      <c r="H53" s="323"/>
      <c r="I53" s="323"/>
      <c r="J53" s="323"/>
      <c r="K53" s="323"/>
      <c r="L53" s="323"/>
      <c r="M53" s="323"/>
      <c r="N53" s="323"/>
      <c r="O53" s="323"/>
      <c r="P53" s="323"/>
      <c r="Q53" s="323"/>
      <c r="R53" s="323"/>
      <c r="S53" s="323"/>
    </row>
    <row r="54" spans="1:19">
      <c r="A54" s="322"/>
      <c r="B54" s="323"/>
      <c r="C54" s="323"/>
      <c r="D54" s="323"/>
      <c r="E54" s="323"/>
      <c r="F54" s="323"/>
      <c r="G54" s="323"/>
      <c r="H54" s="323"/>
      <c r="I54" s="323"/>
      <c r="J54" s="323"/>
      <c r="K54" s="323"/>
      <c r="L54" s="323"/>
      <c r="M54" s="323"/>
      <c r="N54" s="323"/>
      <c r="O54" s="323"/>
      <c r="P54" s="323"/>
      <c r="Q54" s="323"/>
      <c r="R54" s="323"/>
      <c r="S54" s="323"/>
    </row>
    <row r="55" spans="1:19">
      <c r="A55" s="322"/>
      <c r="B55" s="323"/>
      <c r="C55" s="323"/>
      <c r="D55" s="323"/>
      <c r="E55" s="323"/>
      <c r="F55" s="323"/>
      <c r="G55" s="323"/>
      <c r="H55" s="323"/>
      <c r="I55" s="323"/>
      <c r="J55" s="323"/>
      <c r="K55" s="323"/>
      <c r="L55" s="323"/>
      <c r="M55" s="323"/>
      <c r="N55" s="323"/>
      <c r="O55" s="323"/>
      <c r="P55" s="323"/>
      <c r="Q55" s="323"/>
      <c r="R55" s="323"/>
      <c r="S55" s="323"/>
    </row>
    <row r="56" spans="1:19">
      <c r="A56" s="322"/>
      <c r="B56" s="323"/>
      <c r="C56" s="323"/>
      <c r="D56" s="323"/>
      <c r="E56" s="323"/>
      <c r="F56" s="323"/>
      <c r="G56" s="323"/>
      <c r="H56" s="323"/>
      <c r="I56" s="323"/>
      <c r="J56" s="323"/>
      <c r="K56" s="323"/>
      <c r="L56" s="323"/>
      <c r="M56" s="323"/>
      <c r="N56" s="323"/>
      <c r="O56" s="323"/>
      <c r="P56" s="323"/>
      <c r="Q56" s="323"/>
      <c r="R56" s="323"/>
      <c r="S56" s="323"/>
    </row>
    <row r="57" spans="1:19">
      <c r="A57" s="330"/>
      <c r="B57" s="331"/>
      <c r="C57" s="331"/>
      <c r="D57" s="331"/>
      <c r="E57" s="331"/>
      <c r="F57" s="331"/>
      <c r="G57" s="331"/>
      <c r="H57" s="331"/>
      <c r="I57" s="331"/>
      <c r="J57" s="331"/>
      <c r="K57" s="331"/>
      <c r="L57" s="331"/>
      <c r="M57" s="331"/>
      <c r="N57" s="331"/>
      <c r="O57" s="331"/>
      <c r="P57" s="331"/>
      <c r="Q57" s="331"/>
      <c r="R57" s="331"/>
      <c r="S57" s="331"/>
    </row>
  </sheetData>
  <sheetProtection algorithmName="SHA-512" hashValue="FhLTK9T2SUNYkVSnUmmxe0Zs5AX6pG6hrk9Ke5V+AEMPVr/4V0HNBjhGI0CkxbgthxsTSRiVBFwnyxeboyoXjg==" saltValue="qt2Z0E97l4eITSvvma33HQ==" spinCount="100000" sheet="1" scenarios="1" insertHyperlinks="0"/>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60</vt:i4>
      </vt:variant>
      <vt:variant>
        <vt:lpstr>Plages nommées</vt:lpstr>
      </vt:variant>
      <vt:variant>
        <vt:i4>107</vt:i4>
      </vt:variant>
    </vt:vector>
  </HeadingPairs>
  <TitlesOfParts>
    <vt:vector size="167" baseType="lpstr">
      <vt:lpstr>Read_Me</vt:lpstr>
      <vt:lpstr>Version History</vt:lpstr>
      <vt:lpstr>Rules Clarifications</vt:lpstr>
      <vt:lpstr>Cover Sheet</vt:lpstr>
      <vt:lpstr>Chassis Pics</vt:lpstr>
      <vt:lpstr>A2.2 Significant Changes</vt:lpstr>
      <vt:lpstr>MaterialData</vt:lpstr>
      <vt:lpstr>T3.5 Laminate Test</vt:lpstr>
      <vt:lpstr>T3.5 FBHS</vt:lpstr>
      <vt:lpstr>T3.5 FBH</vt:lpstr>
      <vt:lpstr>T3.5 Different Layups</vt:lpstr>
      <vt:lpstr>T3.5.9 Shear Tests</vt:lpstr>
      <vt:lpstr>Other 1 Matt´l Shear</vt:lpstr>
      <vt:lpstr>T3.8 Main Hoop Tubing</vt:lpstr>
      <vt:lpstr>T3.9 Front Hoop Tubing</vt:lpstr>
      <vt:lpstr>T3.10 Main Hoop Bracing</vt:lpstr>
      <vt:lpstr>T3.10.5 T3.5 MHoop Brace Spt</vt:lpstr>
      <vt:lpstr>T3.11 T3.5 FHoop Bracing</vt:lpstr>
      <vt:lpstr>T3.13 T3.5 Ft Bulkhead</vt:lpstr>
      <vt:lpstr>T3.14 T3.5 FBH Spt Structure</vt:lpstr>
      <vt:lpstr>T3.17.3 IA AI Plate</vt:lpstr>
      <vt:lpstr>T3.15 T3.5 SIS</vt:lpstr>
      <vt:lpstr>T4.5 Shoulder Harness Bar</vt:lpstr>
      <vt:lpstr>EV5.5.1&amp;2 EV4.4 ACPS TSPS Side</vt:lpstr>
      <vt:lpstr>EV5.5.1&amp;2 EV4.4 ACPS TSPS Rear</vt:lpstr>
      <vt:lpstr>EV5.5.1&amp;2 EV4.4 ACPS TSPS sidex</vt:lpstr>
      <vt:lpstr>EV5.5.1&amp;2 EV4.4 ACPS TSPS rearx</vt:lpstr>
      <vt:lpstr>T3.16 MH &amp; MH B'ing Attachments</vt:lpstr>
      <vt:lpstr>T4.5 Harness Attachments</vt:lpstr>
      <vt:lpstr>T3.16 FH &amp; FH B'ing Attachments</vt:lpstr>
      <vt:lpstr>T3.16.6&amp;3.17.5 Prim.Struc.Att.</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T1.1 Guidance Notes</vt:lpstr>
      <vt:lpstr>T3.5 Guidance Notes</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EV5.5.3 Guidance Notes</vt:lpstr>
      <vt:lpstr>EV5.5.8 Guidance Notes</vt:lpstr>
      <vt:lpstr>EV5.5.9 Guidance Notes</vt:lpstr>
      <vt:lpstr>EV5.5.10 Guidance Notes</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'EV5.5.10 Guidance Notes'!Innertable</vt:lpstr>
      <vt:lpstr>'EV5.5.3 Guidance Notes'!Innertable</vt:lpstr>
      <vt:lpstr>'EV5.5.4 Alt. Matl - Shear'!Innertable</vt:lpstr>
      <vt:lpstr>'EV5.5.8 Guidance Notes'!Innertable</vt:lpstr>
      <vt:lpstr>'EV5.5.9 Guidance Notes'!Innertable</vt:lpstr>
      <vt:lpstr>'Front Hoop Attachment Guidance'!Innertable</vt:lpstr>
      <vt:lpstr>'Other 1 Matt´l Shear'!Innertable</vt:lpstr>
      <vt:lpstr>'T1.2.1 T4.6 T4.8 Firewall'!Innertable</vt:lpstr>
      <vt:lpstr>'T3.13 T3.5 Ft Bulkhead'!Innertable</vt:lpstr>
      <vt:lpstr>Innertable</vt:lpstr>
      <vt:lpstr>Lijst</vt:lpstr>
      <vt:lpstr>'EV5.5.10 Guidance Notes'!Link_to_guidance_notes</vt:lpstr>
      <vt:lpstr>'EV5.5.3 Guidance Notes'!Link_to_guidance_notes</vt:lpstr>
      <vt:lpstr>'EV5.5.8 Guidance Notes'!Link_to_guidance_notes</vt:lpstr>
      <vt:lpstr>'EV5.5.9 Guidance Notes'!Link_to_guidance_notes</vt:lpstr>
      <vt:lpstr>'EV5.5.10 Guidance Notes'!Link_to_guidance_notes__Front_Hoop__FH__attachments</vt:lpstr>
      <vt:lpstr>'EV5.5.3 Guidance Notes'!Link_to_guidance_notes__Front_Hoop__FH__attachments</vt:lpstr>
      <vt:lpstr>'EV5.5.8 Guidance Notes'!Link_to_guidance_notes__Front_Hoop__FH__attachments</vt:lpstr>
      <vt:lpstr>'EV5.5.9 Guidance Notes'!Link_to_guidance_notes__Front_Hoop__FH__attachments</vt:lpstr>
      <vt:lpstr>Link_to_guidance_notes__Front_Hoop__FH__attachments</vt:lpstr>
      <vt:lpstr>'EV5.5.10 Guidance Notes'!Link_to_guidance_notes_cell_stacks</vt:lpstr>
      <vt:lpstr>'EV5.5.3 Guidance Notes'!Link_to_guidance_notes_cell_stacks</vt:lpstr>
      <vt:lpstr>'EV5.5.8 Guidance Notes'!Link_to_guidance_notes_cell_stacks</vt:lpstr>
      <vt:lpstr>'EV5.5.9 Guidance Notes'!Link_to_guidance_notes_cell_stacks</vt:lpstr>
      <vt:lpstr>Link_to_guidance_notes_TSAC_attachment</vt:lpstr>
      <vt:lpstr>'EV5 Acc. Stack Construction'!Material</vt:lpstr>
      <vt:lpstr>'EV5.5.10 Guidance Notes'!Material</vt:lpstr>
      <vt:lpstr>'EV5.5.3 Guidance Notes'!Material</vt:lpstr>
      <vt:lpstr>'EV5.5.8 Guidance Notes'!Material</vt:lpstr>
      <vt:lpstr>'EV5.5.9 Guidance Notes'!Material</vt:lpstr>
      <vt:lpstr>'Front Hoop Attachment Guidance'!Material</vt:lpstr>
      <vt:lpstr>'T1.2.1 T4.6 T4.8 Firewall'!Material</vt:lpstr>
      <vt:lpstr>'T3.13 T3.5 Ft Bulkhead'!Material</vt:lpstr>
      <vt:lpstr>Material</vt:lpstr>
      <vt:lpstr>Materialname</vt:lpstr>
      <vt:lpstr>'EV5 Acc. Stack Construction'!Materials</vt:lpstr>
      <vt:lpstr>'EV5.5.10 Guidance Notes'!Materials</vt:lpstr>
      <vt:lpstr>'EV5.5.3 Guidance Notes'!Materials</vt:lpstr>
      <vt:lpstr>'EV5.5.4 Alt. Matl - Shear'!Materials</vt:lpstr>
      <vt:lpstr>'EV5.5.8 Guidance Notes'!Materials</vt:lpstr>
      <vt:lpstr>'EV5.5.9 Guidance Notes'!Materials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'EV5.5.10 Guidance Notes'!Metallic_Mats</vt:lpstr>
      <vt:lpstr>'EV5.5.3 Guidance Notes'!Metallic_Mats</vt:lpstr>
      <vt:lpstr>'EV5.5.4 Alt. Matl - Shear'!Metallic_Mats</vt:lpstr>
      <vt:lpstr>'EV5.5.8 Guidance Notes'!Metallic_Mats</vt:lpstr>
      <vt:lpstr>'EV5.5.9 Guidance Notes'!Metallic_Mats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TSAC Attachment Guidance'!Zone_d_impression</vt:lpstr>
      <vt:lpstr>'EV5.5.1&amp;2 EV4.4 ACPS TSPS Rear'!Zone_d_impression</vt:lpstr>
      <vt:lpstr>'EV5.5.1&amp;2 EV4.4 ACPS TSPS Side'!Zone_d_impression</vt:lpstr>
      <vt:lpstr>'EV5.5.10 Guidance Notes'!Zone_d_impression</vt:lpstr>
      <vt:lpstr>'EV5.5.3 Guidance Notes'!Zone_d_impression</vt:lpstr>
      <vt:lpstr>'EV5.5.4 Alt. Matl - Shear'!Zone_d_impression</vt:lpstr>
      <vt:lpstr>'EV5.5.4 Alt. Matls Summary'!Zone_d_impression</vt:lpstr>
      <vt:lpstr>'EV5.5.8 Guidance Notes'!Zone_d_impression</vt:lpstr>
      <vt:lpstr>'EV5.5.9 Guidance Notes'!Zone_d_impression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Quentin Leblanc</cp:lastModifiedBy>
  <cp:revision/>
  <dcterms:created xsi:type="dcterms:W3CDTF">2011-03-12T12:50:23Z</dcterms:created>
  <dcterms:modified xsi:type="dcterms:W3CDTF">2024-03-13T17:15:38Z</dcterms:modified>
  <cp:category/>
  <cp:contentStatus/>
</cp:coreProperties>
</file>